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TESIS TRANSPARENCIA\TERCERA PARTE INDICADORES\ANEXOS\ANEXO I\INDICE DE TRANSPARENCIA\"/>
    </mc:Choice>
  </mc:AlternateContent>
  <xr:revisionPtr revIDLastSave="0" documentId="13_ncr:1_{60985544-F07E-44FE-8134-404D2EA80BE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ANKING POR AYTOS." sheetId="9" r:id="rId1"/>
    <sheet name="RANKING POR ÁREAS" sheetId="7" r:id="rId2"/>
    <sheet name="T POR SEGMENTOS DE POBLACIÓN" sheetId="8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8" l="1"/>
  <c r="G52" i="8"/>
  <c r="G51" i="8"/>
  <c r="F56" i="8"/>
  <c r="F57" i="8"/>
  <c r="F49" i="8"/>
  <c r="F48" i="8"/>
  <c r="F47" i="8"/>
  <c r="F46" i="8"/>
  <c r="F45" i="8"/>
  <c r="F44" i="8"/>
  <c r="F43" i="8"/>
  <c r="F42" i="8"/>
  <c r="G27" i="8" l="1"/>
  <c r="G26" i="8"/>
  <c r="F28" i="8" l="1"/>
  <c r="B101" i="9" l="1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F6" i="7"/>
  <c r="F7" i="7"/>
  <c r="F8" i="7"/>
  <c r="F9" i="7"/>
  <c r="F10" i="7"/>
  <c r="F11" i="7"/>
  <c r="F12" i="7"/>
  <c r="F13" i="7"/>
  <c r="F14" i="7"/>
  <c r="F15" i="7"/>
  <c r="F16" i="7"/>
  <c r="F19" i="7"/>
  <c r="F20" i="7"/>
  <c r="F21" i="7"/>
  <c r="F22" i="7"/>
  <c r="F25" i="7"/>
  <c r="F26" i="7"/>
  <c r="F27" i="7"/>
  <c r="F28" i="7"/>
  <c r="F31" i="7"/>
  <c r="F32" i="7"/>
  <c r="F33" i="7"/>
  <c r="F36" i="7"/>
  <c r="F37" i="7"/>
  <c r="F38" i="7"/>
  <c r="F42" i="7"/>
  <c r="F44" i="7"/>
  <c r="F48" i="7"/>
  <c r="F49" i="7"/>
  <c r="F50" i="7"/>
  <c r="F51" i="7"/>
  <c r="F52" i="7"/>
  <c r="F53" i="7"/>
  <c r="F54" i="7"/>
  <c r="F55" i="7"/>
  <c r="F56" i="7"/>
  <c r="F59" i="7"/>
  <c r="F60" i="7"/>
  <c r="F61" i="7"/>
  <c r="F62" i="7"/>
  <c r="F63" i="7"/>
  <c r="F66" i="7"/>
  <c r="F67" i="7"/>
  <c r="F68" i="7"/>
  <c r="F69" i="7"/>
  <c r="F70" i="7"/>
  <c r="F71" i="7"/>
  <c r="F72" i="7"/>
  <c r="F73" i="7"/>
  <c r="F74" i="7"/>
  <c r="F75" i="7"/>
  <c r="F76" i="7"/>
  <c r="F79" i="7"/>
  <c r="F80" i="7"/>
  <c r="F82" i="7"/>
  <c r="F85" i="7"/>
  <c r="F86" i="7"/>
  <c r="F87" i="7"/>
  <c r="F88" i="7"/>
  <c r="F89" i="7"/>
  <c r="F90" i="7"/>
  <c r="F93" i="7"/>
  <c r="F94" i="7"/>
  <c r="F95" i="7"/>
  <c r="F96" i="7"/>
  <c r="F97" i="7"/>
  <c r="F98" i="7"/>
  <c r="F99" i="7"/>
  <c r="F100" i="7"/>
  <c r="F101" i="7"/>
  <c r="F102" i="7"/>
  <c r="F105" i="7"/>
  <c r="F106" i="7"/>
  <c r="F107" i="7"/>
  <c r="F108" i="7"/>
  <c r="F111" i="7"/>
  <c r="F112" i="7"/>
  <c r="F113" i="7"/>
  <c r="F116" i="7"/>
  <c r="F117" i="7"/>
  <c r="F118" i="7"/>
  <c r="F119" i="7"/>
  <c r="F122" i="7"/>
  <c r="F123" i="7"/>
  <c r="F124" i="7"/>
  <c r="F125" i="7"/>
  <c r="F128" i="7"/>
  <c r="F129" i="7"/>
  <c r="F130" i="7"/>
  <c r="F131" i="7"/>
  <c r="F134" i="7"/>
  <c r="F137" i="7"/>
  <c r="F139" i="7"/>
  <c r="F140" i="7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B65" i="8"/>
  <c r="C73" i="8" s="1"/>
  <c r="B66" i="8"/>
  <c r="B67" i="8"/>
  <c r="B68" i="8"/>
  <c r="B69" i="8"/>
  <c r="B70" i="8"/>
  <c r="F65" i="8"/>
  <c r="F58" i="8"/>
  <c r="F59" i="8"/>
  <c r="F60" i="8"/>
  <c r="F61" i="8"/>
  <c r="G64" i="8"/>
  <c r="G63" i="8"/>
  <c r="B74" i="8"/>
  <c r="C72" i="8"/>
  <c r="F34" i="8"/>
  <c r="F35" i="8"/>
  <c r="F36" i="8"/>
  <c r="F37" i="8"/>
  <c r="F38" i="8"/>
  <c r="F39" i="8"/>
  <c r="F40" i="8"/>
  <c r="B25" i="8"/>
  <c r="B26" i="8"/>
  <c r="B27" i="8"/>
  <c r="C60" i="8" s="1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4" i="8"/>
  <c r="B53" i="8"/>
  <c r="B55" i="8"/>
  <c r="B56" i="8"/>
  <c r="B57" i="8"/>
  <c r="B61" i="8"/>
  <c r="C59" i="8"/>
  <c r="B21" i="8"/>
  <c r="C19" i="8"/>
  <c r="B4" i="8"/>
  <c r="C20" i="8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37" i="7"/>
  <c r="H137" i="7"/>
  <c r="E137" i="7"/>
  <c r="B134" i="7"/>
  <c r="H134" i="7"/>
  <c r="E134" i="7"/>
  <c r="B128" i="7"/>
  <c r="B131" i="7"/>
  <c r="B130" i="7"/>
  <c r="B129" i="7"/>
  <c r="H131" i="7"/>
  <c r="H130" i="7"/>
  <c r="H129" i="7"/>
  <c r="H128" i="7"/>
  <c r="E128" i="7"/>
  <c r="J128" i="7"/>
  <c r="B125" i="7"/>
  <c r="B124" i="7"/>
  <c r="B123" i="7"/>
  <c r="B122" i="7"/>
  <c r="H125" i="7"/>
  <c r="H124" i="7"/>
  <c r="H123" i="7"/>
  <c r="H122" i="7"/>
  <c r="E125" i="7"/>
  <c r="E124" i="7"/>
  <c r="E123" i="7"/>
  <c r="E122" i="7"/>
  <c r="J122" i="7"/>
  <c r="B119" i="7"/>
  <c r="B118" i="7"/>
  <c r="B117" i="7"/>
  <c r="B116" i="7"/>
  <c r="E119" i="7"/>
  <c r="E118" i="7"/>
  <c r="E117" i="7"/>
  <c r="E116" i="7"/>
  <c r="H117" i="7"/>
  <c r="H116" i="7"/>
  <c r="H119" i="7"/>
  <c r="H118" i="7"/>
  <c r="B113" i="7"/>
  <c r="E113" i="7"/>
  <c r="B112" i="7"/>
  <c r="H112" i="7"/>
  <c r="E112" i="7"/>
  <c r="B111" i="7"/>
  <c r="H111" i="7"/>
  <c r="E111" i="7"/>
  <c r="B108" i="7"/>
  <c r="B106" i="7"/>
  <c r="B105" i="7"/>
  <c r="H108" i="7"/>
  <c r="E108" i="7"/>
  <c r="H107" i="7"/>
  <c r="E107" i="7"/>
  <c r="H106" i="7"/>
  <c r="E106" i="7"/>
  <c r="H105" i="7"/>
  <c r="E105" i="7"/>
  <c r="B102" i="7"/>
  <c r="H102" i="7"/>
  <c r="E102" i="7"/>
  <c r="B101" i="7"/>
  <c r="H101" i="7"/>
  <c r="E101" i="7"/>
  <c r="B100" i="7"/>
  <c r="H100" i="7"/>
  <c r="E100" i="7"/>
  <c r="B99" i="7"/>
  <c r="B98" i="7"/>
  <c r="H98" i="7"/>
  <c r="E98" i="7"/>
  <c r="B97" i="7"/>
  <c r="D97" i="7"/>
  <c r="C97" i="7"/>
  <c r="H97" i="7"/>
  <c r="E97" i="7"/>
  <c r="B96" i="7"/>
  <c r="H96" i="7"/>
  <c r="E96" i="7"/>
  <c r="B95" i="7"/>
  <c r="D95" i="7"/>
  <c r="I95" i="7"/>
  <c r="H95" i="7"/>
  <c r="B94" i="7"/>
  <c r="H94" i="7"/>
  <c r="B93" i="7"/>
  <c r="G93" i="7"/>
  <c r="D93" i="7"/>
  <c r="C93" i="7"/>
  <c r="H93" i="7"/>
  <c r="E93" i="7"/>
  <c r="B90" i="7"/>
  <c r="H90" i="7"/>
  <c r="B89" i="7"/>
  <c r="E89" i="7"/>
  <c r="B88" i="7"/>
  <c r="H88" i="7"/>
  <c r="E88" i="7"/>
  <c r="B87" i="7"/>
  <c r="H87" i="7"/>
  <c r="B86" i="7"/>
  <c r="H86" i="7"/>
  <c r="B85" i="7"/>
  <c r="E86" i="7"/>
  <c r="H85" i="7"/>
  <c r="B82" i="7"/>
  <c r="B81" i="7"/>
  <c r="H81" i="7"/>
  <c r="B80" i="7"/>
  <c r="H80" i="7"/>
  <c r="E80" i="7"/>
  <c r="B79" i="7"/>
  <c r="H79" i="7"/>
  <c r="E79" i="7"/>
  <c r="B69" i="7"/>
  <c r="E69" i="7"/>
  <c r="H69" i="7"/>
  <c r="B72" i="7"/>
  <c r="H72" i="7"/>
  <c r="E72" i="7"/>
  <c r="B74" i="7"/>
  <c r="H74" i="7"/>
  <c r="E74" i="7"/>
  <c r="B70" i="7"/>
  <c r="H70" i="7"/>
  <c r="E70" i="7"/>
  <c r="B75" i="7"/>
  <c r="H75" i="7"/>
  <c r="B73" i="7"/>
  <c r="E73" i="7"/>
  <c r="H73" i="7"/>
  <c r="B71" i="7"/>
  <c r="H71" i="7"/>
  <c r="E71" i="7"/>
  <c r="B67" i="7"/>
  <c r="H67" i="7"/>
  <c r="E67" i="7"/>
  <c r="B76" i="7"/>
  <c r="H76" i="7"/>
  <c r="E76" i="7"/>
  <c r="B68" i="7"/>
  <c r="B66" i="7"/>
  <c r="J66" i="7"/>
  <c r="H66" i="7"/>
  <c r="E66" i="7"/>
  <c r="H68" i="7"/>
  <c r="E68" i="7"/>
  <c r="B63" i="7"/>
  <c r="H63" i="7"/>
  <c r="B62" i="7"/>
  <c r="E62" i="7"/>
  <c r="H62" i="7"/>
  <c r="B61" i="7"/>
  <c r="H61" i="7"/>
  <c r="B59" i="7"/>
  <c r="B60" i="7"/>
  <c r="H60" i="7"/>
  <c r="H59" i="7"/>
  <c r="E59" i="7"/>
  <c r="B48" i="7"/>
  <c r="B56" i="7"/>
  <c r="E56" i="7"/>
  <c r="B55" i="7"/>
  <c r="H55" i="7"/>
  <c r="E55" i="7"/>
  <c r="B54" i="7"/>
  <c r="H54" i="7"/>
  <c r="E54" i="7"/>
  <c r="B53" i="7"/>
  <c r="H53" i="7"/>
  <c r="B52" i="7"/>
  <c r="H52" i="7"/>
  <c r="E52" i="7"/>
  <c r="B51" i="7"/>
  <c r="H51" i="7"/>
  <c r="E51" i="7"/>
  <c r="B50" i="7"/>
  <c r="H50" i="7"/>
  <c r="E50" i="7"/>
  <c r="B49" i="7"/>
  <c r="H49" i="7"/>
  <c r="E49" i="7"/>
  <c r="H48" i="7"/>
  <c r="E48" i="7"/>
  <c r="B42" i="7"/>
  <c r="B43" i="7"/>
  <c r="B44" i="7"/>
  <c r="B45" i="7"/>
  <c r="J42" i="7"/>
  <c r="H45" i="7"/>
  <c r="H44" i="7"/>
  <c r="H42" i="7"/>
  <c r="B39" i="7"/>
  <c r="H39" i="7"/>
  <c r="B38" i="7"/>
  <c r="H38" i="7"/>
  <c r="B37" i="7"/>
  <c r="H37" i="7"/>
  <c r="E37" i="7"/>
  <c r="B36" i="7"/>
  <c r="C36" i="7"/>
  <c r="H36" i="7"/>
  <c r="E36" i="7"/>
  <c r="B33" i="7"/>
  <c r="H33" i="7"/>
  <c r="E33" i="7"/>
  <c r="B32" i="7"/>
  <c r="H32" i="7"/>
  <c r="E32" i="7"/>
  <c r="B31" i="7"/>
  <c r="H31" i="7"/>
  <c r="E31" i="7"/>
  <c r="B28" i="7"/>
  <c r="E28" i="7"/>
  <c r="B27" i="7"/>
  <c r="H27" i="7"/>
  <c r="E27" i="7"/>
  <c r="B26" i="7"/>
  <c r="H26" i="7"/>
  <c r="E26" i="7"/>
  <c r="B25" i="7"/>
  <c r="H25" i="7"/>
  <c r="E25" i="7"/>
  <c r="B22" i="7"/>
  <c r="E22" i="7"/>
  <c r="B20" i="7"/>
  <c r="H20" i="7"/>
  <c r="E20" i="7"/>
  <c r="B21" i="7"/>
  <c r="H21" i="7"/>
  <c r="E21" i="7"/>
  <c r="B19" i="7"/>
  <c r="H19" i="7"/>
  <c r="E19" i="7"/>
  <c r="B16" i="7"/>
  <c r="H16" i="7"/>
  <c r="B15" i="7"/>
  <c r="B14" i="7"/>
  <c r="H14" i="7"/>
  <c r="E14" i="7"/>
  <c r="B13" i="7"/>
  <c r="H13" i="7"/>
  <c r="E13" i="7"/>
  <c r="B12" i="7"/>
  <c r="H12" i="7"/>
  <c r="E12" i="7"/>
  <c r="B11" i="7"/>
  <c r="H11" i="7"/>
  <c r="B10" i="7"/>
  <c r="H10" i="7"/>
  <c r="E10" i="7"/>
  <c r="B9" i="7"/>
  <c r="H9" i="7"/>
  <c r="E9" i="7"/>
  <c r="B8" i="7"/>
  <c r="H8" i="7"/>
  <c r="E8" i="7"/>
  <c r="B7" i="7"/>
  <c r="H7" i="7"/>
  <c r="E7" i="7"/>
  <c r="B6" i="7"/>
  <c r="H6" i="7"/>
  <c r="E6" i="7"/>
  <c r="I6" i="7"/>
  <c r="I7" i="7"/>
  <c r="I8" i="7"/>
  <c r="I10" i="7"/>
  <c r="I11" i="7"/>
  <c r="I12" i="7"/>
  <c r="I13" i="7"/>
  <c r="I15" i="7"/>
  <c r="I19" i="7"/>
  <c r="I20" i="7"/>
  <c r="I22" i="7"/>
  <c r="I26" i="7"/>
  <c r="I27" i="7"/>
  <c r="I28" i="7"/>
  <c r="I31" i="7"/>
  <c r="I32" i="7"/>
  <c r="I33" i="7"/>
  <c r="I36" i="7"/>
  <c r="I38" i="7"/>
  <c r="I39" i="7"/>
  <c r="I42" i="7"/>
  <c r="I44" i="7"/>
  <c r="I45" i="7"/>
  <c r="I48" i="7"/>
  <c r="I49" i="7"/>
  <c r="I50" i="7"/>
  <c r="I51" i="7"/>
  <c r="I52" i="7"/>
  <c r="I53" i="7"/>
  <c r="I54" i="7"/>
  <c r="I55" i="7"/>
  <c r="I56" i="7"/>
  <c r="I59" i="7"/>
  <c r="I60" i="7"/>
  <c r="I61" i="7"/>
  <c r="I62" i="7"/>
  <c r="I63" i="7"/>
  <c r="I66" i="7"/>
  <c r="I67" i="7"/>
  <c r="I68" i="7"/>
  <c r="I69" i="7"/>
  <c r="I70" i="7"/>
  <c r="I71" i="7"/>
  <c r="I72" i="7"/>
  <c r="I73" i="7"/>
  <c r="I74" i="7"/>
  <c r="I75" i="7"/>
  <c r="I76" i="7"/>
  <c r="I79" i="7"/>
  <c r="I80" i="7"/>
  <c r="I82" i="7"/>
  <c r="I85" i="7"/>
  <c r="I86" i="7"/>
  <c r="I87" i="7"/>
  <c r="I88" i="7"/>
  <c r="I89" i="7"/>
  <c r="I93" i="7"/>
  <c r="I94" i="7"/>
  <c r="I97" i="7"/>
  <c r="I98" i="7"/>
  <c r="I99" i="7"/>
  <c r="I100" i="7"/>
  <c r="I101" i="7"/>
  <c r="I102" i="7"/>
  <c r="I105" i="7"/>
  <c r="I106" i="7"/>
  <c r="I107" i="7"/>
  <c r="I108" i="7"/>
  <c r="I111" i="7"/>
  <c r="I112" i="7"/>
  <c r="I113" i="7"/>
  <c r="I116" i="7"/>
  <c r="I117" i="7"/>
  <c r="I118" i="7"/>
  <c r="I119" i="7"/>
  <c r="I122" i="7"/>
  <c r="I123" i="7"/>
  <c r="I124" i="7"/>
  <c r="I125" i="7"/>
  <c r="I130" i="7"/>
  <c r="I131" i="7"/>
  <c r="I134" i="7"/>
  <c r="I137" i="7"/>
  <c r="I139" i="7"/>
  <c r="I140" i="7"/>
  <c r="H139" i="7"/>
  <c r="H140" i="7"/>
  <c r="G7" i="7"/>
  <c r="G8" i="7"/>
  <c r="G9" i="7"/>
  <c r="G25" i="7"/>
  <c r="G26" i="7"/>
  <c r="G27" i="7"/>
  <c r="G28" i="7"/>
  <c r="G32" i="7"/>
  <c r="G48" i="7"/>
  <c r="G49" i="7"/>
  <c r="G62" i="7"/>
  <c r="G86" i="7"/>
  <c r="G107" i="7"/>
  <c r="G111" i="7"/>
  <c r="G112" i="7"/>
  <c r="G113" i="7"/>
  <c r="G116" i="7"/>
  <c r="G117" i="7"/>
  <c r="G119" i="7"/>
  <c r="G128" i="7"/>
  <c r="G137" i="7"/>
  <c r="G139" i="7"/>
  <c r="G140" i="7"/>
  <c r="E139" i="7"/>
  <c r="E140" i="7"/>
  <c r="D6" i="7"/>
  <c r="D8" i="7"/>
  <c r="D11" i="7"/>
  <c r="D13" i="7"/>
  <c r="D14" i="7"/>
  <c r="D15" i="7"/>
  <c r="D16" i="7"/>
  <c r="D20" i="7"/>
  <c r="D22" i="7"/>
  <c r="D25" i="7"/>
  <c r="D26" i="7"/>
  <c r="D27" i="7"/>
  <c r="D31" i="7"/>
  <c r="D32" i="7"/>
  <c r="D33" i="7"/>
  <c r="D36" i="7"/>
  <c r="D37" i="7"/>
  <c r="D38" i="7"/>
  <c r="D39" i="7"/>
  <c r="D42" i="7"/>
  <c r="D43" i="7"/>
  <c r="D44" i="7"/>
  <c r="D45" i="7"/>
  <c r="D48" i="7"/>
  <c r="D50" i="7"/>
  <c r="D51" i="7"/>
  <c r="D52" i="7"/>
  <c r="D54" i="7"/>
  <c r="D55" i="7"/>
  <c r="D59" i="7"/>
  <c r="D60" i="7"/>
  <c r="D61" i="7"/>
  <c r="D62" i="7"/>
  <c r="D63" i="7"/>
  <c r="D66" i="7"/>
  <c r="D67" i="7"/>
  <c r="D68" i="7"/>
  <c r="D69" i="7"/>
  <c r="D70" i="7"/>
  <c r="D71" i="7"/>
  <c r="D73" i="7"/>
  <c r="D74" i="7"/>
  <c r="D75" i="7"/>
  <c r="D76" i="7"/>
  <c r="D79" i="7"/>
  <c r="D80" i="7"/>
  <c r="D81" i="7"/>
  <c r="D82" i="7"/>
  <c r="D85" i="7"/>
  <c r="D86" i="7"/>
  <c r="D87" i="7"/>
  <c r="D88" i="7"/>
  <c r="D89" i="7"/>
  <c r="D90" i="7"/>
  <c r="D94" i="7"/>
  <c r="D96" i="7"/>
  <c r="D98" i="7"/>
  <c r="D99" i="7"/>
  <c r="D100" i="7"/>
  <c r="D101" i="7"/>
  <c r="D102" i="7"/>
  <c r="D105" i="7"/>
  <c r="D106" i="7"/>
  <c r="D107" i="7"/>
  <c r="D108" i="7"/>
  <c r="D111" i="7"/>
  <c r="D112" i="7"/>
  <c r="D113" i="7"/>
  <c r="D116" i="7"/>
  <c r="D117" i="7"/>
  <c r="D118" i="7"/>
  <c r="D119" i="7"/>
  <c r="D122" i="7"/>
  <c r="D123" i="7"/>
  <c r="D124" i="7"/>
  <c r="D125" i="7"/>
  <c r="D128" i="7"/>
  <c r="D129" i="7"/>
  <c r="D130" i="7"/>
  <c r="D131" i="7"/>
  <c r="D134" i="7"/>
  <c r="D137" i="7"/>
  <c r="D139" i="7"/>
  <c r="D140" i="7"/>
  <c r="C6" i="7"/>
  <c r="C7" i="7"/>
  <c r="C8" i="7"/>
  <c r="C9" i="7"/>
  <c r="C10" i="7"/>
  <c r="C11" i="7"/>
  <c r="C12" i="7"/>
  <c r="C13" i="7"/>
  <c r="C14" i="7"/>
  <c r="C19" i="7"/>
  <c r="C20" i="7"/>
  <c r="C21" i="7"/>
  <c r="C22" i="7"/>
  <c r="C25" i="7"/>
  <c r="C26" i="7"/>
  <c r="C27" i="7"/>
  <c r="C31" i="7"/>
  <c r="C32" i="7"/>
  <c r="C33" i="7"/>
  <c r="C37" i="7"/>
  <c r="C38" i="7"/>
  <c r="C39" i="7"/>
  <c r="C42" i="7"/>
  <c r="C43" i="7"/>
  <c r="C44" i="7"/>
  <c r="C45" i="7"/>
  <c r="C48" i="7"/>
  <c r="C49" i="7"/>
  <c r="C50" i="7"/>
  <c r="C51" i="7"/>
  <c r="C52" i="7"/>
  <c r="C53" i="7"/>
  <c r="C54" i="7"/>
  <c r="C55" i="7"/>
  <c r="C56" i="7"/>
  <c r="C59" i="7"/>
  <c r="C60" i="7"/>
  <c r="C61" i="7"/>
  <c r="C62" i="7"/>
  <c r="C63" i="7"/>
  <c r="C66" i="7"/>
  <c r="C67" i="7"/>
  <c r="C69" i="7"/>
  <c r="C70" i="7"/>
  <c r="C71" i="7"/>
  <c r="C72" i="7"/>
  <c r="C73" i="7"/>
  <c r="C74" i="7"/>
  <c r="C75" i="7"/>
  <c r="C79" i="7"/>
  <c r="C80" i="7"/>
  <c r="C81" i="7"/>
  <c r="C82" i="7"/>
  <c r="C85" i="7"/>
  <c r="C86" i="7"/>
  <c r="C87" i="7"/>
  <c r="C88" i="7"/>
  <c r="C89" i="7"/>
  <c r="C90" i="7"/>
  <c r="C94" i="7"/>
  <c r="C95" i="7"/>
  <c r="C96" i="7"/>
  <c r="C98" i="7"/>
  <c r="C99" i="7"/>
  <c r="C100" i="7"/>
  <c r="C101" i="7"/>
  <c r="C102" i="7"/>
  <c r="C105" i="7"/>
  <c r="C106" i="7"/>
  <c r="C107" i="7"/>
  <c r="C108" i="7"/>
  <c r="C111" i="7"/>
  <c r="C112" i="7"/>
  <c r="C113" i="7"/>
  <c r="C116" i="7"/>
  <c r="C117" i="7"/>
  <c r="C118" i="7"/>
  <c r="C119" i="7"/>
  <c r="C122" i="7"/>
  <c r="C123" i="7"/>
  <c r="C124" i="7"/>
  <c r="C125" i="7"/>
  <c r="C129" i="7"/>
  <c r="C130" i="7"/>
  <c r="C131" i="7"/>
  <c r="C134" i="7"/>
  <c r="C137" i="7"/>
  <c r="C139" i="7"/>
  <c r="C140" i="7"/>
  <c r="B107" i="7"/>
  <c r="B139" i="7"/>
  <c r="B140" i="7"/>
  <c r="J116" i="7"/>
  <c r="J111" i="7"/>
  <c r="J105" i="7"/>
  <c r="J93" i="7"/>
  <c r="J85" i="7"/>
  <c r="J79" i="7"/>
  <c r="J59" i="7"/>
  <c r="J48" i="7"/>
  <c r="J36" i="7"/>
  <c r="J31" i="7"/>
  <c r="J25" i="7"/>
  <c r="J19" i="7"/>
  <c r="J6" i="7"/>
</calcChain>
</file>

<file path=xl/sharedStrings.xml><?xml version="1.0" encoding="utf-8"?>
<sst xmlns="http://schemas.openxmlformats.org/spreadsheetml/2006/main" count="570" uniqueCount="151">
  <si>
    <t>POBLACIÓN</t>
  </si>
  <si>
    <t>MADRID</t>
  </si>
  <si>
    <t>VALENCIA</t>
  </si>
  <si>
    <t>ALCALA DE HENARES</t>
  </si>
  <si>
    <t>ALCOBENDAS</t>
  </si>
  <si>
    <t>BARCELONA</t>
  </si>
  <si>
    <t xml:space="preserve">BADALONA </t>
  </si>
  <si>
    <t>MOSTOLES</t>
  </si>
  <si>
    <t>FUENLABRADA</t>
  </si>
  <si>
    <t>GETAFE</t>
  </si>
  <si>
    <t xml:space="preserve">PARLA </t>
  </si>
  <si>
    <t xml:space="preserve">LEGANES </t>
  </si>
  <si>
    <t>TORREJÓN DE ARDOZ</t>
  </si>
  <si>
    <t xml:space="preserve">LERIDA </t>
  </si>
  <si>
    <t>SABADELL</t>
  </si>
  <si>
    <t>MATARO</t>
  </si>
  <si>
    <t>HOSPITALET DEL LLOBREGAT</t>
  </si>
  <si>
    <t>REUS</t>
  </si>
  <si>
    <t>SANTA COLOMA DE GRAMANET</t>
  </si>
  <si>
    <t>TARRAGONA</t>
  </si>
  <si>
    <t xml:space="preserve">GERONA </t>
  </si>
  <si>
    <t>SEGOVIA</t>
  </si>
  <si>
    <t xml:space="preserve">AVILA </t>
  </si>
  <si>
    <t>VALLADOLID</t>
  </si>
  <si>
    <t>SALAMANCA</t>
  </si>
  <si>
    <t xml:space="preserve">LEON </t>
  </si>
  <si>
    <t>ZAMORA</t>
  </si>
  <si>
    <t>SORIA</t>
  </si>
  <si>
    <t xml:space="preserve">BURGOS </t>
  </si>
  <si>
    <t>PALENCIA</t>
  </si>
  <si>
    <t>CASTELLON DE LA PLANA</t>
  </si>
  <si>
    <t>ELCHE</t>
  </si>
  <si>
    <t>LUGO</t>
  </si>
  <si>
    <t>SANTIAGO DE COMPOSTELA</t>
  </si>
  <si>
    <t>PONTEVEDRA</t>
  </si>
  <si>
    <t>CUENCA</t>
  </si>
  <si>
    <t>GUADALAJARA</t>
  </si>
  <si>
    <t>ALBACETE</t>
  </si>
  <si>
    <t>BILBAO</t>
  </si>
  <si>
    <t>SAN SEBASTÍAN</t>
  </si>
  <si>
    <t>PALMA DE MALLORCA</t>
  </si>
  <si>
    <t>SANTANDER</t>
  </si>
  <si>
    <t>HUESCA</t>
  </si>
  <si>
    <t>ZARAGOZA</t>
  </si>
  <si>
    <t>TERUEL</t>
  </si>
  <si>
    <t>MURCIA</t>
  </si>
  <si>
    <t>LOGROÑO</t>
  </si>
  <si>
    <t>VIGO</t>
  </si>
  <si>
    <t>OVIEDO</t>
  </si>
  <si>
    <t>CARTAGENA</t>
  </si>
  <si>
    <t>TELDE</t>
  </si>
  <si>
    <t>SANTA CRUZ DE TENERIFE</t>
  </si>
  <si>
    <t>LAS PALMAS DE GRAN CANARIA</t>
  </si>
  <si>
    <t>SAN CRISTOBAL DE LA LAGUNA</t>
  </si>
  <si>
    <t>MALAGA</t>
  </si>
  <si>
    <t xml:space="preserve">CORDOBA </t>
  </si>
  <si>
    <t>CADIZ</t>
  </si>
  <si>
    <t xml:space="preserve">DOS HERMANAS </t>
  </si>
  <si>
    <t xml:space="preserve">HUELVA </t>
  </si>
  <si>
    <t>ALMERIA</t>
  </si>
  <si>
    <t>GRANADA</t>
  </si>
  <si>
    <t>TARRASSA</t>
  </si>
  <si>
    <t>CÁCERES</t>
  </si>
  <si>
    <t>CEUTA</t>
  </si>
  <si>
    <t>MELILLA</t>
  </si>
  <si>
    <t>SEVILLA</t>
  </si>
  <si>
    <t xml:space="preserve">JEREZ DE LA FRONTERA </t>
  </si>
  <si>
    <t xml:space="preserve">MARBELLA </t>
  </si>
  <si>
    <t xml:space="preserve">JAEN </t>
  </si>
  <si>
    <t>ALICANTE</t>
  </si>
  <si>
    <t>LA CORUÑA</t>
  </si>
  <si>
    <t xml:space="preserve">TOLEDO </t>
  </si>
  <si>
    <t>BADAJOZ</t>
  </si>
  <si>
    <t>VITORIA</t>
  </si>
  <si>
    <t>BARACALDO</t>
  </si>
  <si>
    <t xml:space="preserve">CIUDAD REAL </t>
  </si>
  <si>
    <t>AYUNTAMIENTOS</t>
  </si>
  <si>
    <t xml:space="preserve">GIJÓN </t>
  </si>
  <si>
    <t>PAMPLONA</t>
  </si>
  <si>
    <t>ANDALUCIA</t>
  </si>
  <si>
    <t>ARAGÓN</t>
  </si>
  <si>
    <t xml:space="preserve"> ASTURIAS</t>
  </si>
  <si>
    <t xml:space="preserve"> ISLAS BALEARES</t>
  </si>
  <si>
    <t xml:space="preserve"> ISLAS CANARIAS</t>
  </si>
  <si>
    <t xml:space="preserve"> CANTABRIA</t>
  </si>
  <si>
    <t>CASTILLA-LEON</t>
  </si>
  <si>
    <t>CASTILLA- LA MANCHA</t>
  </si>
  <si>
    <t>CATALUÑA</t>
  </si>
  <si>
    <t>EXTREMADURA</t>
  </si>
  <si>
    <t>GALICIA</t>
  </si>
  <si>
    <t>ORENSE</t>
  </si>
  <si>
    <t>ALCORCON</t>
  </si>
  <si>
    <t>NAVARRA</t>
  </si>
  <si>
    <t>PAÍS VASCO</t>
  </si>
  <si>
    <t>LA RIOJA</t>
  </si>
  <si>
    <t>C. VALENCIANA</t>
  </si>
  <si>
    <t>Total</t>
  </si>
  <si>
    <t>Área 1</t>
  </si>
  <si>
    <t>Área 2</t>
  </si>
  <si>
    <t>Área 3</t>
  </si>
  <si>
    <t>Área 4</t>
  </si>
  <si>
    <t>Área 5</t>
  </si>
  <si>
    <t>Área 6</t>
  </si>
  <si>
    <t>Área 7</t>
  </si>
  <si>
    <t>ITA 10 ind.</t>
  </si>
  <si>
    <t>IL 9 ind.</t>
  </si>
  <si>
    <t>IR 18 ind.</t>
  </si>
  <si>
    <t>IT 4 ind.</t>
  </si>
  <si>
    <t>IINF 10 ind.</t>
  </si>
  <si>
    <t>I ECON 8 ind</t>
  </si>
  <si>
    <t>IC 5 ind.</t>
  </si>
  <si>
    <t>" " "</t>
  </si>
  <si>
    <t>INDICE DE TRANSPARENCIA</t>
  </si>
  <si>
    <t>MEDIA POR AREAS</t>
  </si>
  <si>
    <t>MEDIA CCAA</t>
  </si>
  <si>
    <t>CALATAYUD</t>
  </si>
  <si>
    <t>LANGREO</t>
  </si>
  <si>
    <t>IBIZA</t>
  </si>
  <si>
    <t>CALVIÁ</t>
  </si>
  <si>
    <t>TORRELAVEGA</t>
  </si>
  <si>
    <t>CASTRO-URDIALES</t>
  </si>
  <si>
    <t>CAMARGO</t>
  </si>
  <si>
    <t>MÉRIDA</t>
  </si>
  <si>
    <t>PLASENCIA</t>
  </si>
  <si>
    <t>LORCA</t>
  </si>
  <si>
    <t>MOLINA DE SEGURA</t>
  </si>
  <si>
    <t>TUDELA</t>
  </si>
  <si>
    <t>BURLADA</t>
  </si>
  <si>
    <t>CALAHORRA</t>
  </si>
  <si>
    <t>ARNEDO</t>
  </si>
  <si>
    <t>HARO</t>
  </si>
  <si>
    <t>AVILÉS</t>
  </si>
  <si>
    <t>MERIDA</t>
  </si>
  <si>
    <t>BARAKALDO</t>
  </si>
  <si>
    <t>Nº ITEMS</t>
  </si>
  <si>
    <t>NO COBRA LA TASA DE BASURAS</t>
  </si>
  <si>
    <t>Al no cobrar tasa de basuras, no hay ingresos 302 o 303, para no penalizarlo por eso consideramos en el total de indicadores presupuestarios 7 en vez de 8, por tanto en vez de 64 serían63</t>
  </si>
  <si>
    <t>Al no cobrar tasa de basuras, no hay ingresos 302 o 303, para no penalizarlo por eso consideramos en el total de indicadores presupuestarios 7 en vez de 8</t>
  </si>
  <si>
    <t>TERRASSA</t>
  </si>
  <si>
    <t>no hay regogida de envases, no tenemos en cuenta el nº de contenedores de envases, SOBRE 63</t>
  </si>
  <si>
    <t>AYUNTAMIENTOS ENTRE 50.000-100.000H</t>
  </si>
  <si>
    <t>AYUNTAMIENTOS DE MENOS DE 50.000 H</t>
  </si>
  <si>
    <t>AYUNTAMIENTOS DE MAS DE 500.000H</t>
  </si>
  <si>
    <t>MEDIA</t>
  </si>
  <si>
    <t>% DE LA MUESTRA</t>
  </si>
  <si>
    <t>TOTAL: AYUNTAMIENTOS</t>
  </si>
  <si>
    <r>
      <t xml:space="preserve">Nº DE AYUNTAMIENTOS </t>
    </r>
    <r>
      <rPr>
        <b/>
        <sz val="11"/>
        <color rgb="FF00B0F0"/>
        <rFont val="Calibri"/>
        <family val="2"/>
      </rPr>
      <t>≥50%</t>
    </r>
  </si>
  <si>
    <t>AYUNTAMIENTOS ENTRE 100.000-200.000H</t>
  </si>
  <si>
    <t>MEDIA DE TRANSPARENCIA</t>
  </si>
  <si>
    <t>AYUNTAMIENTOS ENTRE 300.000-500.000H</t>
  </si>
  <si>
    <t>AYUNTAMIENTOS ENTRE 200.000-300.000H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</si>
</sst>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0" fillId="0" borderId="0" xfId="0" applyBorder="1"/>
    <xf numFmtId="0" fontId="5" fillId="0" borderId="4" xfId="0" applyFont="1" applyBorder="1"/>
    <xf numFmtId="10" fontId="3" fillId="0" borderId="5" xfId="0" applyNumberFormat="1" applyFont="1" applyBorder="1" applyAlignment="1">
      <alignment horizontal="center"/>
    </xf>
    <xf numFmtId="0" fontId="0" fillId="0" borderId="6" xfId="0" applyBorder="1"/>
    <xf numFmtId="0" fontId="4" fillId="0" borderId="7" xfId="0" applyFont="1" applyBorder="1"/>
    <xf numFmtId="9" fontId="0" fillId="0" borderId="4" xfId="2" applyFont="1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10" fontId="0" fillId="0" borderId="4" xfId="2" applyNumberFormat="1" applyFont="1" applyBorder="1" applyAlignment="1">
      <alignment horizontal="center"/>
    </xf>
    <xf numFmtId="9" fontId="0" fillId="0" borderId="4" xfId="2" applyNumberFormat="1" applyFont="1" applyBorder="1" applyAlignment="1">
      <alignment horizontal="center"/>
    </xf>
    <xf numFmtId="9" fontId="7" fillId="0" borderId="4" xfId="2" applyFont="1" applyBorder="1" applyAlignment="1">
      <alignment horizontal="center"/>
    </xf>
    <xf numFmtId="0" fontId="10" fillId="0" borderId="0" xfId="0" applyFont="1"/>
    <xf numFmtId="9" fontId="10" fillId="0" borderId="4" xfId="2" applyFont="1" applyBorder="1" applyAlignment="1">
      <alignment horizontal="center"/>
    </xf>
    <xf numFmtId="10" fontId="11" fillId="0" borderId="5" xfId="0" applyNumberFormat="1" applyFont="1" applyBorder="1" applyAlignment="1">
      <alignment horizontal="center"/>
    </xf>
    <xf numFmtId="9" fontId="0" fillId="0" borderId="4" xfId="2" applyFont="1" applyBorder="1"/>
    <xf numFmtId="166" fontId="0" fillId="0" borderId="4" xfId="2" applyNumberFormat="1" applyFont="1" applyBorder="1"/>
    <xf numFmtId="9" fontId="0" fillId="0" borderId="4" xfId="2" applyNumberFormat="1" applyFont="1" applyBorder="1"/>
    <xf numFmtId="0" fontId="4" fillId="2" borderId="6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2" xfId="0" applyFont="1" applyBorder="1"/>
    <xf numFmtId="0" fontId="5" fillId="0" borderId="9" xfId="0" applyFont="1" applyBorder="1"/>
    <xf numFmtId="10" fontId="3" fillId="0" borderId="14" xfId="0" applyNumberFormat="1" applyFont="1" applyBorder="1" applyAlignment="1">
      <alignment horizontal="center"/>
    </xf>
    <xf numFmtId="9" fontId="0" fillId="0" borderId="10" xfId="2" applyFont="1" applyBorder="1"/>
    <xf numFmtId="9" fontId="0" fillId="0" borderId="11" xfId="2" applyFont="1" applyBorder="1"/>
    <xf numFmtId="0" fontId="11" fillId="0" borderId="12" xfId="0" applyFont="1" applyBorder="1"/>
    <xf numFmtId="0" fontId="0" fillId="0" borderId="12" xfId="0" applyBorder="1"/>
    <xf numFmtId="0" fontId="0" fillId="0" borderId="9" xfId="0" applyBorder="1"/>
    <xf numFmtId="9" fontId="0" fillId="0" borderId="10" xfId="2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166" fontId="0" fillId="0" borderId="10" xfId="2" applyNumberFormat="1" applyFont="1" applyBorder="1"/>
    <xf numFmtId="10" fontId="11" fillId="0" borderId="4" xfId="0" applyNumberFormat="1" applyFont="1" applyBorder="1" applyAlignment="1">
      <alignment horizontal="center"/>
    </xf>
    <xf numFmtId="0" fontId="11" fillId="0" borderId="9" xfId="0" applyFont="1" applyBorder="1"/>
    <xf numFmtId="10" fontId="11" fillId="0" borderId="10" xfId="0" applyNumberFormat="1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9" fontId="0" fillId="0" borderId="4" xfId="0" applyNumberFormat="1" applyBorder="1"/>
    <xf numFmtId="9" fontId="10" fillId="0" borderId="4" xfId="2" applyFont="1" applyBorder="1"/>
    <xf numFmtId="10" fontId="0" fillId="0" borderId="4" xfId="2" applyNumberFormat="1" applyFont="1" applyBorder="1"/>
    <xf numFmtId="0" fontId="5" fillId="3" borderId="16" xfId="0" applyFont="1" applyFill="1" applyBorder="1"/>
    <xf numFmtId="0" fontId="0" fillId="0" borderId="12" xfId="0" applyFont="1" applyBorder="1"/>
    <xf numFmtId="10" fontId="3" fillId="0" borderId="22" xfId="0" applyNumberFormat="1" applyFont="1" applyBorder="1" applyAlignment="1">
      <alignment horizontal="center"/>
    </xf>
    <xf numFmtId="0" fontId="0" fillId="0" borderId="15" xfId="0" applyBorder="1"/>
    <xf numFmtId="10" fontId="11" fillId="0" borderId="22" xfId="0" applyNumberFormat="1" applyFont="1" applyBorder="1" applyAlignment="1">
      <alignment horizontal="center"/>
    </xf>
    <xf numFmtId="0" fontId="11" fillId="4" borderId="12" xfId="0" applyFont="1" applyFill="1" applyBorder="1"/>
    <xf numFmtId="0" fontId="0" fillId="0" borderId="23" xfId="0" applyBorder="1"/>
    <xf numFmtId="0" fontId="4" fillId="2" borderId="24" xfId="0" applyFont="1" applyFill="1" applyBorder="1"/>
    <xf numFmtId="0" fontId="3" fillId="0" borderId="21" xfId="0" applyFont="1" applyBorder="1" applyAlignment="1">
      <alignment horizontal="center"/>
    </xf>
    <xf numFmtId="10" fontId="3" fillId="0" borderId="4" xfId="2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28" xfId="0" applyBorder="1" applyAlignment="1">
      <alignment horizontal="center"/>
    </xf>
    <xf numFmtId="0" fontId="4" fillId="0" borderId="12" xfId="0" applyFont="1" applyBorder="1"/>
    <xf numFmtId="0" fontId="4" fillId="0" borderId="2" xfId="0" applyFont="1" applyFill="1" applyBorder="1" applyAlignment="1">
      <alignment horizontal="center"/>
    </xf>
    <xf numFmtId="10" fontId="0" fillId="0" borderId="23" xfId="0" applyNumberFormat="1" applyBorder="1"/>
    <xf numFmtId="10" fontId="0" fillId="0" borderId="29" xfId="0" applyNumberFormat="1" applyBorder="1"/>
    <xf numFmtId="0" fontId="3" fillId="0" borderId="3" xfId="0" applyFont="1" applyBorder="1"/>
    <xf numFmtId="10" fontId="0" fillId="0" borderId="30" xfId="2" applyNumberFormat="1" applyFont="1" applyBorder="1"/>
    <xf numFmtId="10" fontId="2" fillId="0" borderId="30" xfId="2" applyNumberFormat="1" applyFont="1" applyBorder="1"/>
    <xf numFmtId="10" fontId="0" fillId="0" borderId="31" xfId="2" applyNumberFormat="1" applyFont="1" applyBorder="1"/>
    <xf numFmtId="0" fontId="0" fillId="0" borderId="32" xfId="0" applyBorder="1"/>
    <xf numFmtId="0" fontId="5" fillId="0" borderId="33" xfId="0" applyFont="1" applyBorder="1"/>
    <xf numFmtId="0" fontId="11" fillId="0" borderId="4" xfId="0" applyFont="1" applyBorder="1"/>
    <xf numFmtId="0" fontId="11" fillId="0" borderId="27" xfId="0" applyFont="1" applyBorder="1"/>
    <xf numFmtId="0" fontId="4" fillId="2" borderId="4" xfId="0" applyFont="1" applyFill="1" applyBorder="1"/>
    <xf numFmtId="0" fontId="0" fillId="0" borderId="4" xfId="0" applyFont="1" applyBorder="1"/>
    <xf numFmtId="0" fontId="4" fillId="2" borderId="27" xfId="0" applyFont="1" applyFill="1" applyBorder="1"/>
    <xf numFmtId="0" fontId="0" fillId="0" borderId="9" xfId="0" applyFont="1" applyBorder="1"/>
    <xf numFmtId="0" fontId="11" fillId="4" borderId="4" xfId="0" applyFont="1" applyFill="1" applyBorder="1"/>
    <xf numFmtId="9" fontId="0" fillId="0" borderId="32" xfId="2" applyFont="1" applyBorder="1"/>
    <xf numFmtId="10" fontId="3" fillId="0" borderId="34" xfId="0" applyNumberFormat="1" applyFont="1" applyBorder="1" applyAlignment="1">
      <alignment horizontal="center"/>
    </xf>
    <xf numFmtId="0" fontId="4" fillId="0" borderId="0" xfId="0" applyFont="1" applyFill="1" applyBorder="1"/>
    <xf numFmtId="10" fontId="11" fillId="0" borderId="0" xfId="2" applyNumberFormat="1" applyFont="1"/>
    <xf numFmtId="10" fontId="3" fillId="0" borderId="0" xfId="2" applyNumberFormat="1" applyFont="1"/>
    <xf numFmtId="10" fontId="3" fillId="0" borderId="10" xfId="0" applyNumberFormat="1" applyFont="1" applyBorder="1" applyAlignment="1">
      <alignment horizontal="center"/>
    </xf>
    <xf numFmtId="10" fontId="3" fillId="0" borderId="5" xfId="2" applyNumberFormat="1" applyFont="1" applyBorder="1" applyAlignment="1">
      <alignment horizontal="center"/>
    </xf>
    <xf numFmtId="10" fontId="11" fillId="0" borderId="5" xfId="2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6" fillId="0" borderId="22" xfId="0" applyNumberFormat="1" applyFont="1" applyBorder="1" applyAlignment="1">
      <alignment horizontal="center"/>
    </xf>
    <xf numFmtId="0" fontId="5" fillId="3" borderId="9" xfId="0" applyFont="1" applyFill="1" applyBorder="1"/>
    <xf numFmtId="0" fontId="11" fillId="3" borderId="12" xfId="0" applyFont="1" applyFill="1" applyBorder="1"/>
    <xf numFmtId="10" fontId="11" fillId="3" borderId="4" xfId="0" applyNumberFormat="1" applyFont="1" applyFill="1" applyBorder="1" applyAlignment="1">
      <alignment horizontal="center"/>
    </xf>
    <xf numFmtId="0" fontId="0" fillId="3" borderId="9" xfId="0" applyFont="1" applyFill="1" applyBorder="1"/>
    <xf numFmtId="0" fontId="5" fillId="3" borderId="12" xfId="0" applyFont="1" applyFill="1" applyBorder="1"/>
    <xf numFmtId="0" fontId="11" fillId="3" borderId="9" xfId="0" applyFont="1" applyFill="1" applyBorder="1"/>
    <xf numFmtId="0" fontId="0" fillId="3" borderId="12" xfId="0" applyFont="1" applyFill="1" applyBorder="1"/>
    <xf numFmtId="0" fontId="3" fillId="0" borderId="12" xfId="0" applyFont="1" applyBorder="1"/>
    <xf numFmtId="0" fontId="4" fillId="0" borderId="25" xfId="0" applyFont="1" applyBorder="1"/>
    <xf numFmtId="9" fontId="0" fillId="0" borderId="21" xfId="2" applyFont="1" applyBorder="1"/>
    <xf numFmtId="9" fontId="0" fillId="0" borderId="26" xfId="2" applyFont="1" applyBorder="1"/>
    <xf numFmtId="0" fontId="3" fillId="0" borderId="25" xfId="0" applyFont="1" applyBorder="1" applyAlignment="1">
      <alignment horizontal="center"/>
    </xf>
    <xf numFmtId="9" fontId="0" fillId="0" borderId="1" xfId="2" applyFont="1" applyBorder="1"/>
    <xf numFmtId="0" fontId="0" fillId="0" borderId="5" xfId="0" applyBorder="1"/>
    <xf numFmtId="0" fontId="4" fillId="0" borderId="35" xfId="0" applyFont="1" applyFill="1" applyBorder="1" applyAlignment="1">
      <alignment horizontal="center"/>
    </xf>
    <xf numFmtId="10" fontId="4" fillId="0" borderId="36" xfId="2" applyNumberFormat="1" applyFont="1" applyBorder="1"/>
    <xf numFmtId="10" fontId="4" fillId="0" borderId="4" xfId="0" applyNumberFormat="1" applyFont="1" applyBorder="1"/>
    <xf numFmtId="10" fontId="4" fillId="0" borderId="5" xfId="0" applyNumberFormat="1" applyFont="1" applyBorder="1"/>
    <xf numFmtId="10" fontId="4" fillId="0" borderId="36" xfId="0" applyNumberFormat="1" applyFont="1" applyBorder="1"/>
    <xf numFmtId="0" fontId="4" fillId="0" borderId="15" xfId="0" applyFont="1" applyBorder="1"/>
    <xf numFmtId="9" fontId="0" fillId="0" borderId="15" xfId="2" applyFont="1" applyBorder="1"/>
    <xf numFmtId="0" fontId="0" fillId="0" borderId="19" xfId="0" applyBorder="1"/>
    <xf numFmtId="0" fontId="0" fillId="0" borderId="18" xfId="0" applyBorder="1"/>
    <xf numFmtId="0" fontId="4" fillId="0" borderId="8" xfId="0" applyFont="1" applyFill="1" applyBorder="1"/>
    <xf numFmtId="10" fontId="4" fillId="0" borderId="28" xfId="2" applyNumberFormat="1" applyFont="1" applyBorder="1"/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10" fontId="4" fillId="0" borderId="37" xfId="2" applyNumberFormat="1" applyFont="1" applyBorder="1"/>
    <xf numFmtId="10" fontId="3" fillId="3" borderId="10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0" fontId="4" fillId="0" borderId="10" xfId="0" applyNumberFormat="1" applyFont="1" applyBorder="1"/>
    <xf numFmtId="0" fontId="0" fillId="0" borderId="37" xfId="0" applyBorder="1"/>
    <xf numFmtId="10" fontId="0" fillId="0" borderId="37" xfId="2" applyNumberFormat="1" applyFont="1" applyBorder="1"/>
    <xf numFmtId="10" fontId="11" fillId="0" borderId="0" xfId="2" applyNumberFormat="1" applyFont="1" applyBorder="1"/>
    <xf numFmtId="10" fontId="3" fillId="0" borderId="0" xfId="2" applyNumberFormat="1" applyFont="1" applyBorder="1"/>
    <xf numFmtId="10" fontId="3" fillId="0" borderId="30" xfId="2" applyNumberFormat="1" applyFont="1" applyBorder="1"/>
    <xf numFmtId="0" fontId="6" fillId="0" borderId="15" xfId="0" applyFont="1" applyBorder="1"/>
    <xf numFmtId="0" fontId="12" fillId="0" borderId="12" xfId="0" applyFont="1" applyBorder="1"/>
    <xf numFmtId="0" fontId="0" fillId="0" borderId="38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0" fontId="4" fillId="0" borderId="4" xfId="2" applyNumberFormat="1" applyFont="1" applyBorder="1"/>
    <xf numFmtId="0" fontId="4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29" xfId="0" applyBorder="1"/>
    <xf numFmtId="0" fontId="5" fillId="3" borderId="4" xfId="0" applyFont="1" applyFill="1" applyBorder="1"/>
    <xf numFmtId="1" fontId="0" fillId="0" borderId="4" xfId="1" applyNumberFormat="1" applyFont="1" applyFill="1" applyBorder="1" applyAlignment="1">
      <alignment horizontal="center"/>
    </xf>
    <xf numFmtId="1" fontId="0" fillId="0" borderId="13" xfId="1" applyNumberFormat="1" applyFont="1" applyFill="1" applyBorder="1" applyAlignment="1">
      <alignment horizontal="center"/>
    </xf>
    <xf numFmtId="1" fontId="0" fillId="0" borderId="28" xfId="1" applyNumberFormat="1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0" fontId="10" fillId="0" borderId="4" xfId="2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10" fillId="0" borderId="4" xfId="0" applyFont="1" applyBorder="1"/>
    <xf numFmtId="0" fontId="4" fillId="0" borderId="7" xfId="0" applyFont="1" applyFill="1" applyBorder="1" applyAlignment="1">
      <alignment horizontal="center"/>
    </xf>
    <xf numFmtId="0" fontId="0" fillId="0" borderId="8" xfId="0" applyBorder="1"/>
    <xf numFmtId="1" fontId="0" fillId="0" borderId="13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1" xfId="2" applyNumberFormat="1" applyFont="1" applyBorder="1"/>
    <xf numFmtId="10" fontId="4" fillId="0" borderId="30" xfId="0" applyNumberFormat="1" applyFont="1" applyBorder="1"/>
    <xf numFmtId="0" fontId="0" fillId="0" borderId="31" xfId="0" applyBorder="1" applyAlignment="1">
      <alignment horizontal="center"/>
    </xf>
    <xf numFmtId="0" fontId="0" fillId="3" borderId="4" xfId="0" applyFont="1" applyFill="1" applyBorder="1"/>
    <xf numFmtId="10" fontId="4" fillId="0" borderId="36" xfId="2" applyNumberFormat="1" applyFont="1" applyBorder="1" applyAlignment="1">
      <alignment horizontal="center"/>
    </xf>
    <xf numFmtId="10" fontId="4" fillId="0" borderId="36" xfId="0" applyNumberFormat="1" applyFont="1" applyBorder="1" applyAlignment="1">
      <alignment horizontal="center"/>
    </xf>
    <xf numFmtId="10" fontId="4" fillId="0" borderId="8" xfId="2" applyNumberFormat="1" applyFont="1" applyBorder="1"/>
    <xf numFmtId="10" fontId="0" fillId="0" borderId="10" xfId="2" applyNumberFormat="1" applyFont="1" applyBorder="1"/>
    <xf numFmtId="10" fontId="11" fillId="0" borderId="0" xfId="2" applyNumberFormat="1" applyFont="1" applyBorder="1" applyAlignment="1">
      <alignment horizontal="center"/>
    </xf>
    <xf numFmtId="0" fontId="6" fillId="0" borderId="12" xfId="0" applyFont="1" applyBorder="1"/>
    <xf numFmtId="10" fontId="3" fillId="3" borderId="4" xfId="0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left" indent="1"/>
    </xf>
    <xf numFmtId="0" fontId="3" fillId="3" borderId="12" xfId="0" applyFont="1" applyFill="1" applyBorder="1"/>
    <xf numFmtId="165" fontId="3" fillId="0" borderId="13" xfId="1" applyNumberFormat="1" applyFont="1" applyBorder="1"/>
    <xf numFmtId="165" fontId="3" fillId="0" borderId="13" xfId="1" applyNumberFormat="1" applyFont="1" applyBorder="1" applyAlignment="1">
      <alignment horizontal="center"/>
    </xf>
    <xf numFmtId="0" fontId="0" fillId="4" borderId="12" xfId="0" applyFont="1" applyFill="1" applyBorder="1"/>
    <xf numFmtId="10" fontId="11" fillId="0" borderId="4" xfId="2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vertical="top" wrapText="1"/>
    </xf>
    <xf numFmtId="165" fontId="3" fillId="0" borderId="13" xfId="0" applyNumberFormat="1" applyFont="1" applyBorder="1" applyAlignment="1">
      <alignment vertical="top" wrapText="1"/>
    </xf>
    <xf numFmtId="10" fontId="11" fillId="0" borderId="7" xfId="0" applyNumberFormat="1" applyFont="1" applyBorder="1" applyAlignment="1">
      <alignment horizontal="center"/>
    </xf>
    <xf numFmtId="165" fontId="3" fillId="0" borderId="8" xfId="1" applyNumberFormat="1" applyFont="1" applyFill="1" applyBorder="1"/>
    <xf numFmtId="0" fontId="11" fillId="3" borderId="4" xfId="0" applyFont="1" applyFill="1" applyBorder="1"/>
    <xf numFmtId="0" fontId="0" fillId="0" borderId="33" xfId="0" applyBorder="1"/>
    <xf numFmtId="10" fontId="3" fillId="0" borderId="32" xfId="0" applyNumberFormat="1" applyFont="1" applyBorder="1" applyAlignment="1">
      <alignment horizontal="center"/>
    </xf>
    <xf numFmtId="165" fontId="3" fillId="0" borderId="38" xfId="1" applyNumberFormat="1" applyFont="1" applyBorder="1"/>
    <xf numFmtId="0" fontId="11" fillId="0" borderId="12" xfId="0" applyFont="1" applyFill="1" applyBorder="1"/>
    <xf numFmtId="0" fontId="11" fillId="0" borderId="0" xfId="0" applyFont="1" applyBorder="1"/>
    <xf numFmtId="10" fontId="11" fillId="0" borderId="0" xfId="0" applyNumberFormat="1" applyFont="1" applyBorder="1" applyAlignment="1">
      <alignment horizontal="center"/>
    </xf>
    <xf numFmtId="165" fontId="3" fillId="0" borderId="0" xfId="1" applyNumberFormat="1" applyFont="1" applyBorder="1"/>
    <xf numFmtId="10" fontId="3" fillId="0" borderId="0" xfId="0" applyNumberFormat="1" applyFont="1" applyBorder="1" applyAlignment="1">
      <alignment horizontal="center"/>
    </xf>
    <xf numFmtId="165" fontId="6" fillId="0" borderId="0" xfId="1" applyNumberFormat="1" applyFont="1" applyBorder="1"/>
    <xf numFmtId="0" fontId="11" fillId="0" borderId="6" xfId="0" applyFont="1" applyBorder="1"/>
    <xf numFmtId="10" fontId="11" fillId="0" borderId="23" xfId="0" applyNumberFormat="1" applyFont="1" applyBorder="1" applyAlignment="1">
      <alignment horizontal="center"/>
    </xf>
    <xf numFmtId="165" fontId="3" fillId="0" borderId="29" xfId="1" applyNumberFormat="1" applyFont="1" applyBorder="1"/>
    <xf numFmtId="165" fontId="6" fillId="0" borderId="11" xfId="1" applyNumberFormat="1" applyFont="1" applyBorder="1"/>
    <xf numFmtId="165" fontId="3" fillId="0" borderId="8" xfId="1" applyNumberFormat="1" applyFont="1" applyBorder="1"/>
    <xf numFmtId="165" fontId="3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164" fontId="11" fillId="0" borderId="4" xfId="1" applyFont="1" applyBorder="1" applyAlignment="1">
      <alignment horizontal="center"/>
    </xf>
    <xf numFmtId="165" fontId="3" fillId="0" borderId="39" xfId="1" applyNumberFormat="1" applyFont="1" applyBorder="1"/>
    <xf numFmtId="10" fontId="4" fillId="0" borderId="12" xfId="2" applyNumberFormat="1" applyFont="1" applyBorder="1"/>
    <xf numFmtId="10" fontId="4" fillId="0" borderId="13" xfId="2" applyNumberFormat="1" applyFont="1" applyBorder="1" applyAlignment="1">
      <alignment horizontal="center"/>
    </xf>
    <xf numFmtId="0" fontId="4" fillId="0" borderId="9" xfId="0" applyFont="1" applyBorder="1"/>
    <xf numFmtId="10" fontId="4" fillId="0" borderId="11" xfId="2" applyNumberFormat="1" applyFont="1" applyBorder="1" applyAlignment="1">
      <alignment horizontal="center"/>
    </xf>
    <xf numFmtId="0" fontId="4" fillId="0" borderId="27" xfId="0" applyFont="1" applyFill="1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0" fontId="11" fillId="3" borderId="10" xfId="0" applyNumberFormat="1" applyFont="1" applyFill="1" applyBorder="1" applyAlignment="1">
      <alignment horizontal="center"/>
    </xf>
    <xf numFmtId="0" fontId="11" fillId="0" borderId="11" xfId="1" applyNumberFormat="1" applyFont="1" applyBorder="1" applyAlignment="1">
      <alignment horizontal="center"/>
    </xf>
    <xf numFmtId="0" fontId="5" fillId="0" borderId="34" xfId="0" applyFont="1" applyBorder="1"/>
    <xf numFmtId="165" fontId="3" fillId="0" borderId="0" xfId="0" applyNumberFormat="1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0" fontId="11" fillId="3" borderId="27" xfId="0" applyFont="1" applyFill="1" applyBorder="1"/>
    <xf numFmtId="0" fontId="6" fillId="0" borderId="0" xfId="0" applyFont="1" applyBorder="1"/>
    <xf numFmtId="0" fontId="11" fillId="4" borderId="0" xfId="0" applyFont="1" applyFill="1" applyBorder="1"/>
    <xf numFmtId="165" fontId="3" fillId="0" borderId="13" xfId="1" applyNumberFormat="1" applyFont="1" applyBorder="1" applyAlignment="1">
      <alignment horizontal="center" vertical="top" wrapText="1"/>
    </xf>
    <xf numFmtId="165" fontId="6" fillId="0" borderId="13" xfId="1" applyNumberFormat="1" applyFont="1" applyBorder="1" applyAlignment="1">
      <alignment horizontal="center"/>
    </xf>
    <xf numFmtId="165" fontId="3" fillId="0" borderId="38" xfId="1" applyNumberFormat="1" applyFont="1" applyBorder="1" applyAlignment="1">
      <alignment horizontal="center" vertical="top" wrapText="1"/>
    </xf>
    <xf numFmtId="165" fontId="3" fillId="0" borderId="13" xfId="1" applyNumberFormat="1" applyFont="1" applyBorder="1" applyAlignment="1"/>
    <xf numFmtId="165" fontId="6" fillId="0" borderId="11" xfId="1" applyNumberFormat="1" applyFont="1" applyBorder="1" applyAlignment="1"/>
    <xf numFmtId="0" fontId="4" fillId="0" borderId="40" xfId="0" applyFont="1" applyFill="1" applyBorder="1"/>
    <xf numFmtId="0" fontId="4" fillId="0" borderId="41" xfId="0" applyFont="1" applyBorder="1" applyAlignment="1">
      <alignment horizontal="center"/>
    </xf>
    <xf numFmtId="165" fontId="3" fillId="0" borderId="8" xfId="1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3" borderId="4" xfId="0" applyFill="1" applyBorder="1"/>
    <xf numFmtId="165" fontId="3" fillId="0" borderId="0" xfId="1" applyNumberFormat="1" applyFont="1" applyBorder="1" applyAlignment="1">
      <alignment horizontal="left" indent="1"/>
    </xf>
    <xf numFmtId="0" fontId="6" fillId="0" borderId="4" xfId="0" applyFont="1" applyBorder="1"/>
    <xf numFmtId="10" fontId="4" fillId="0" borderId="30" xfId="2" applyNumberFormat="1" applyFont="1" applyBorder="1"/>
    <xf numFmtId="0" fontId="11" fillId="3" borderId="0" xfId="0" applyFont="1" applyFill="1" applyBorder="1"/>
    <xf numFmtId="0" fontId="12" fillId="0" borderId="0" xfId="0" applyFont="1" applyBorder="1"/>
    <xf numFmtId="1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2" applyNumberFormat="1" applyFont="1" applyBorder="1"/>
    <xf numFmtId="10" fontId="4" fillId="0" borderId="0" xfId="2" applyNumberFormat="1" applyFont="1" applyBorder="1" applyAlignment="1">
      <alignment horizontal="center"/>
    </xf>
    <xf numFmtId="164" fontId="11" fillId="0" borderId="0" xfId="1" applyFont="1" applyBorder="1" applyAlignment="1">
      <alignment horizontal="center"/>
    </xf>
    <xf numFmtId="10" fontId="11" fillId="3" borderId="0" xfId="0" applyNumberFormat="1" applyFont="1" applyFill="1" applyBorder="1" applyAlignment="1">
      <alignment horizontal="center"/>
    </xf>
    <xf numFmtId="0" fontId="11" fillId="0" borderId="0" xfId="1" applyNumberFormat="1" applyFont="1" applyBorder="1" applyAlignment="1">
      <alignment horizontal="center"/>
    </xf>
  </cellXfs>
  <cellStyles count="6">
    <cellStyle name="Hipervínculo 2" xfId="4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5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01"/>
  <sheetViews>
    <sheetView workbookViewId="0">
      <selection activeCell="B95" sqref="B95"/>
    </sheetView>
  </sheetViews>
  <sheetFormatPr baseColWidth="10" defaultRowHeight="15" x14ac:dyDescent="0.25"/>
  <cols>
    <col min="1" max="1" width="29.85546875" customWidth="1"/>
    <col min="2" max="2" width="25.7109375" customWidth="1"/>
  </cols>
  <sheetData>
    <row r="3" spans="1:2" ht="15.75" thickBot="1" x14ac:dyDescent="0.3">
      <c r="A3" s="1" t="s">
        <v>76</v>
      </c>
      <c r="B3" s="3" t="s">
        <v>112</v>
      </c>
    </row>
    <row r="4" spans="1:2" x14ac:dyDescent="0.25">
      <c r="A4" s="12"/>
      <c r="B4" s="53"/>
    </row>
    <row r="5" spans="1:2" x14ac:dyDescent="0.25">
      <c r="A5" s="54"/>
      <c r="B5" s="55"/>
    </row>
    <row r="6" spans="1:2" x14ac:dyDescent="0.25">
      <c r="A6" s="72" t="s">
        <v>73</v>
      </c>
      <c r="B6" s="39">
        <f>(51/64)</f>
        <v>0.796875</v>
      </c>
    </row>
    <row r="7" spans="1:2" x14ac:dyDescent="0.25">
      <c r="A7" s="72" t="s">
        <v>39</v>
      </c>
      <c r="B7" s="39">
        <f>(49/64)</f>
        <v>0.765625</v>
      </c>
    </row>
    <row r="8" spans="1:2" x14ac:dyDescent="0.25">
      <c r="A8" s="72" t="s">
        <v>75</v>
      </c>
      <c r="B8" s="39">
        <f>(48/64)</f>
        <v>0.75</v>
      </c>
    </row>
    <row r="9" spans="1:2" x14ac:dyDescent="0.25">
      <c r="A9" s="72" t="s">
        <v>1</v>
      </c>
      <c r="B9" s="39">
        <f>(47/64)</f>
        <v>0.734375</v>
      </c>
    </row>
    <row r="10" spans="1:2" x14ac:dyDescent="0.25">
      <c r="A10" s="78" t="s">
        <v>77</v>
      </c>
      <c r="B10" s="39">
        <f>(46/64)</f>
        <v>0.71875</v>
      </c>
    </row>
    <row r="11" spans="1:2" x14ac:dyDescent="0.25">
      <c r="A11" s="72" t="s">
        <v>8</v>
      </c>
      <c r="B11" s="39">
        <f>(45/64)</f>
        <v>0.703125</v>
      </c>
    </row>
    <row r="12" spans="1:2" x14ac:dyDescent="0.25">
      <c r="A12" s="72" t="s">
        <v>24</v>
      </c>
      <c r="B12" s="165">
        <f>(43/64)</f>
        <v>0.671875</v>
      </c>
    </row>
    <row r="13" spans="1:2" x14ac:dyDescent="0.25">
      <c r="A13" s="72" t="s">
        <v>23</v>
      </c>
      <c r="B13" s="165">
        <f>(41/63)</f>
        <v>0.65079365079365081</v>
      </c>
    </row>
    <row r="14" spans="1:2" x14ac:dyDescent="0.25">
      <c r="A14" s="72" t="s">
        <v>54</v>
      </c>
      <c r="B14" s="39">
        <f>(41/64)</f>
        <v>0.640625</v>
      </c>
    </row>
    <row r="15" spans="1:2" x14ac:dyDescent="0.25">
      <c r="A15" s="72" t="s">
        <v>14</v>
      </c>
      <c r="B15" s="39">
        <f>(41/64)</f>
        <v>0.640625</v>
      </c>
    </row>
    <row r="16" spans="1:2" x14ac:dyDescent="0.25">
      <c r="A16" s="72" t="s">
        <v>51</v>
      </c>
      <c r="B16" s="39">
        <f>(40/64)</f>
        <v>0.625</v>
      </c>
    </row>
    <row r="17" spans="1:2" x14ac:dyDescent="0.25">
      <c r="A17" s="72" t="s">
        <v>25</v>
      </c>
      <c r="B17" s="165">
        <f>(40/64)</f>
        <v>0.625</v>
      </c>
    </row>
    <row r="18" spans="1:2" x14ac:dyDescent="0.25">
      <c r="A18" s="171" t="s">
        <v>74</v>
      </c>
      <c r="B18" s="39">
        <f>(40/64)</f>
        <v>0.625</v>
      </c>
    </row>
    <row r="19" spans="1:2" x14ac:dyDescent="0.25">
      <c r="A19" s="171" t="s">
        <v>117</v>
      </c>
      <c r="B19" s="39">
        <f>(39/64)</f>
        <v>0.609375</v>
      </c>
    </row>
    <row r="20" spans="1:2" x14ac:dyDescent="0.25">
      <c r="A20" s="72" t="s">
        <v>61</v>
      </c>
      <c r="B20" s="39">
        <f>(39/64)</f>
        <v>0.609375</v>
      </c>
    </row>
    <row r="21" spans="1:2" x14ac:dyDescent="0.25">
      <c r="A21" s="72" t="s">
        <v>5</v>
      </c>
      <c r="B21" s="39">
        <f>(38/63)</f>
        <v>0.60317460317460314</v>
      </c>
    </row>
    <row r="22" spans="1:2" x14ac:dyDescent="0.25">
      <c r="A22" s="78" t="s">
        <v>78</v>
      </c>
      <c r="B22" s="39">
        <f>(37/63)</f>
        <v>0.58730158730158732</v>
      </c>
    </row>
    <row r="23" spans="1:2" x14ac:dyDescent="0.25">
      <c r="A23" s="171" t="s">
        <v>131</v>
      </c>
      <c r="B23" s="91">
        <f>(37/64)</f>
        <v>0.578125</v>
      </c>
    </row>
    <row r="24" spans="1:2" x14ac:dyDescent="0.25">
      <c r="A24" s="72" t="s">
        <v>55</v>
      </c>
      <c r="B24" s="39">
        <f>(36/64)</f>
        <v>0.5625</v>
      </c>
    </row>
    <row r="25" spans="1:2" x14ac:dyDescent="0.25">
      <c r="A25" s="72" t="s">
        <v>16</v>
      </c>
      <c r="B25" s="165">
        <f>(36/64)</f>
        <v>0.5625</v>
      </c>
    </row>
    <row r="26" spans="1:2" x14ac:dyDescent="0.25">
      <c r="A26" s="72" t="s">
        <v>70</v>
      </c>
      <c r="B26" s="39">
        <f>(36/64)</f>
        <v>0.5625</v>
      </c>
    </row>
    <row r="27" spans="1:2" x14ac:dyDescent="0.25">
      <c r="A27" s="72" t="s">
        <v>11</v>
      </c>
      <c r="B27" s="39">
        <f>(36/64)</f>
        <v>0.5625</v>
      </c>
    </row>
    <row r="28" spans="1:2" x14ac:dyDescent="0.25">
      <c r="A28" s="72" t="s">
        <v>65</v>
      </c>
      <c r="B28" s="39">
        <f>(35/64)</f>
        <v>0.546875</v>
      </c>
    </row>
    <row r="29" spans="1:2" x14ac:dyDescent="0.25">
      <c r="A29" s="72" t="s">
        <v>28</v>
      </c>
      <c r="B29" s="165">
        <f>(35/64)</f>
        <v>0.546875</v>
      </c>
    </row>
    <row r="30" spans="1:2" x14ac:dyDescent="0.25">
      <c r="A30" s="72" t="s">
        <v>18</v>
      </c>
      <c r="B30" s="39">
        <f>(35/64)</f>
        <v>0.546875</v>
      </c>
    </row>
    <row r="31" spans="1:2" x14ac:dyDescent="0.25">
      <c r="A31" s="171" t="s">
        <v>125</v>
      </c>
      <c r="B31" s="39">
        <f>(35/64)</f>
        <v>0.546875</v>
      </c>
    </row>
    <row r="32" spans="1:2" x14ac:dyDescent="0.25">
      <c r="A32" s="72" t="s">
        <v>38</v>
      </c>
      <c r="B32" s="39">
        <f>(35/64)</f>
        <v>0.546875</v>
      </c>
    </row>
    <row r="33" spans="1:2" x14ac:dyDescent="0.25">
      <c r="A33" s="72" t="s">
        <v>64</v>
      </c>
      <c r="B33" s="39">
        <f>(34/63)</f>
        <v>0.53968253968253965</v>
      </c>
    </row>
    <row r="34" spans="1:2" x14ac:dyDescent="0.25">
      <c r="A34" s="72" t="s">
        <v>48</v>
      </c>
      <c r="B34" s="39">
        <f>(34/64)</f>
        <v>0.53125</v>
      </c>
    </row>
    <row r="35" spans="1:2" x14ac:dyDescent="0.25">
      <c r="A35" s="171" t="s">
        <v>118</v>
      </c>
      <c r="B35" s="39">
        <f>(34/64)</f>
        <v>0.53125</v>
      </c>
    </row>
    <row r="36" spans="1:2" x14ac:dyDescent="0.25">
      <c r="A36" s="72" t="s">
        <v>19</v>
      </c>
      <c r="B36" s="39">
        <f>(33/64)</f>
        <v>0.515625</v>
      </c>
    </row>
    <row r="37" spans="1:2" x14ac:dyDescent="0.25">
      <c r="A37" s="72" t="s">
        <v>43</v>
      </c>
      <c r="B37" s="39">
        <f>(32/64)</f>
        <v>0.5</v>
      </c>
    </row>
    <row r="38" spans="1:2" x14ac:dyDescent="0.25">
      <c r="A38" s="72" t="s">
        <v>6</v>
      </c>
      <c r="B38" s="39">
        <f>(32/64)</f>
        <v>0.5</v>
      </c>
    </row>
    <row r="39" spans="1:2" x14ac:dyDescent="0.25">
      <c r="A39" s="72" t="s">
        <v>15</v>
      </c>
      <c r="B39" s="165">
        <f>(32/64)</f>
        <v>0.5</v>
      </c>
    </row>
    <row r="40" spans="1:2" x14ac:dyDescent="0.25">
      <c r="A40" s="72" t="s">
        <v>20</v>
      </c>
      <c r="B40" s="39">
        <f>(32/64)</f>
        <v>0.5</v>
      </c>
    </row>
    <row r="41" spans="1:2" x14ac:dyDescent="0.25">
      <c r="A41" s="57" t="s">
        <v>4</v>
      </c>
      <c r="B41" s="216">
        <f>(31/64)</f>
        <v>0.484375</v>
      </c>
    </row>
    <row r="42" spans="1:2" x14ac:dyDescent="0.25">
      <c r="A42" s="10" t="s">
        <v>2</v>
      </c>
      <c r="B42" s="59">
        <f>(30/63)</f>
        <v>0.47619047619047616</v>
      </c>
    </row>
    <row r="43" spans="1:2" x14ac:dyDescent="0.25">
      <c r="A43" s="10" t="s">
        <v>37</v>
      </c>
      <c r="B43" s="59">
        <f>(30/64)</f>
        <v>0.46875</v>
      </c>
    </row>
    <row r="44" spans="1:2" x14ac:dyDescent="0.25">
      <c r="A44" s="10" t="s">
        <v>45</v>
      </c>
      <c r="B44" s="59">
        <f>(30/64)</f>
        <v>0.46875</v>
      </c>
    </row>
    <row r="45" spans="1:2" x14ac:dyDescent="0.25">
      <c r="A45" s="57" t="s">
        <v>46</v>
      </c>
      <c r="B45" s="59">
        <f>(30/64)</f>
        <v>0.46875</v>
      </c>
    </row>
    <row r="46" spans="1:2" x14ac:dyDescent="0.25">
      <c r="A46" s="10" t="s">
        <v>40</v>
      </c>
      <c r="B46" s="59">
        <f>(29/64)</f>
        <v>0.453125</v>
      </c>
    </row>
    <row r="47" spans="1:2" x14ac:dyDescent="0.25">
      <c r="A47" s="219" t="s">
        <v>47</v>
      </c>
      <c r="B47" s="59">
        <f>(29/64)</f>
        <v>0.453125</v>
      </c>
    </row>
    <row r="48" spans="1:2" x14ac:dyDescent="0.25">
      <c r="A48" s="57" t="s">
        <v>10</v>
      </c>
      <c r="B48" s="59">
        <f>(28/63)</f>
        <v>0.44444444444444442</v>
      </c>
    </row>
    <row r="49" spans="1:2" x14ac:dyDescent="0.25">
      <c r="A49" s="60" t="s">
        <v>60</v>
      </c>
      <c r="B49" s="87">
        <f>(28/64)</f>
        <v>0.4375</v>
      </c>
    </row>
    <row r="50" spans="1:2" x14ac:dyDescent="0.25">
      <c r="A50" s="57" t="s">
        <v>27</v>
      </c>
      <c r="B50" s="56">
        <f>(27/64)</f>
        <v>0.421875</v>
      </c>
    </row>
    <row r="51" spans="1:2" x14ac:dyDescent="0.25">
      <c r="A51" s="57" t="s">
        <v>52</v>
      </c>
      <c r="B51" s="59">
        <f>(26/64)</f>
        <v>0.40625</v>
      </c>
    </row>
    <row r="52" spans="1:2" x14ac:dyDescent="0.25">
      <c r="A52" s="57" t="s">
        <v>13</v>
      </c>
      <c r="B52" s="56">
        <f>(26/64)</f>
        <v>0.40625</v>
      </c>
    </row>
    <row r="53" spans="1:2" x14ac:dyDescent="0.25">
      <c r="A53" s="57" t="s">
        <v>58</v>
      </c>
      <c r="B53" s="59">
        <f t="shared" ref="B53:B59" si="0">(25/64)</f>
        <v>0.390625</v>
      </c>
    </row>
    <row r="54" spans="1:2" x14ac:dyDescent="0.25">
      <c r="A54" s="57" t="s">
        <v>67</v>
      </c>
      <c r="B54" s="59">
        <f t="shared" si="0"/>
        <v>0.390625</v>
      </c>
    </row>
    <row r="55" spans="1:2" x14ac:dyDescent="0.25">
      <c r="A55" s="57" t="s">
        <v>29</v>
      </c>
      <c r="B55" s="56">
        <f t="shared" si="0"/>
        <v>0.390625</v>
      </c>
    </row>
    <row r="56" spans="1:2" x14ac:dyDescent="0.25">
      <c r="A56" s="57" t="s">
        <v>21</v>
      </c>
      <c r="B56" s="56">
        <f t="shared" si="0"/>
        <v>0.390625</v>
      </c>
    </row>
    <row r="57" spans="1:2" x14ac:dyDescent="0.25">
      <c r="A57" s="57" t="s">
        <v>17</v>
      </c>
      <c r="B57" s="59">
        <f t="shared" si="0"/>
        <v>0.390625</v>
      </c>
    </row>
    <row r="58" spans="1:2" x14ac:dyDescent="0.25">
      <c r="A58" s="217" t="s">
        <v>128</v>
      </c>
      <c r="B58" s="87">
        <f t="shared" si="0"/>
        <v>0.390625</v>
      </c>
    </row>
    <row r="59" spans="1:2" x14ac:dyDescent="0.25">
      <c r="A59" s="10" t="s">
        <v>30</v>
      </c>
      <c r="B59" s="59">
        <f t="shared" si="0"/>
        <v>0.390625</v>
      </c>
    </row>
    <row r="60" spans="1:2" x14ac:dyDescent="0.25">
      <c r="A60" s="134" t="s">
        <v>124</v>
      </c>
      <c r="B60" s="59">
        <f>(43/112)</f>
        <v>0.38392857142857145</v>
      </c>
    </row>
    <row r="61" spans="1:2" x14ac:dyDescent="0.25">
      <c r="A61" s="57" t="s">
        <v>66</v>
      </c>
      <c r="B61" s="59">
        <f>(24/64)</f>
        <v>0.375</v>
      </c>
    </row>
    <row r="62" spans="1:2" x14ac:dyDescent="0.25">
      <c r="A62" s="10" t="s">
        <v>42</v>
      </c>
      <c r="B62" s="59">
        <f>(24/64)</f>
        <v>0.375</v>
      </c>
    </row>
    <row r="63" spans="1:2" x14ac:dyDescent="0.25">
      <c r="A63" s="10" t="s">
        <v>41</v>
      </c>
      <c r="B63" s="59">
        <f>(24/64)</f>
        <v>0.375</v>
      </c>
    </row>
    <row r="64" spans="1:2" x14ac:dyDescent="0.25">
      <c r="A64" s="57" t="s">
        <v>9</v>
      </c>
      <c r="B64" s="59">
        <f>(23/63)</f>
        <v>0.36507936507936506</v>
      </c>
    </row>
    <row r="65" spans="1:2" x14ac:dyDescent="0.25">
      <c r="A65" s="217" t="s">
        <v>126</v>
      </c>
      <c r="B65" s="87">
        <f>(23/63)</f>
        <v>0.36507936507936506</v>
      </c>
    </row>
    <row r="66" spans="1:2" x14ac:dyDescent="0.25">
      <c r="A66" s="217" t="s">
        <v>127</v>
      </c>
      <c r="B66" s="59">
        <f>(23/63)</f>
        <v>0.36507936507936506</v>
      </c>
    </row>
    <row r="67" spans="1:2" x14ac:dyDescent="0.25">
      <c r="A67" s="57" t="s">
        <v>26</v>
      </c>
      <c r="B67" s="56">
        <f>(23/64)</f>
        <v>0.359375</v>
      </c>
    </row>
    <row r="68" spans="1:2" x14ac:dyDescent="0.25">
      <c r="A68" s="57" t="s">
        <v>22</v>
      </c>
      <c r="B68" s="56">
        <f>(23/64)</f>
        <v>0.359375</v>
      </c>
    </row>
    <row r="69" spans="1:2" x14ac:dyDescent="0.25">
      <c r="A69" s="10" t="s">
        <v>62</v>
      </c>
      <c r="B69" s="59">
        <f>(23/64)</f>
        <v>0.359375</v>
      </c>
    </row>
    <row r="70" spans="1:2" x14ac:dyDescent="0.25">
      <c r="A70" s="10" t="s">
        <v>49</v>
      </c>
      <c r="B70" s="59">
        <f>(23/64)</f>
        <v>0.359375</v>
      </c>
    </row>
    <row r="71" spans="1:2" x14ac:dyDescent="0.25">
      <c r="A71" s="10" t="s">
        <v>69</v>
      </c>
      <c r="B71" s="59">
        <f>(23/64)</f>
        <v>0.359375</v>
      </c>
    </row>
    <row r="72" spans="1:2" x14ac:dyDescent="0.25">
      <c r="A72" s="57" t="s">
        <v>7</v>
      </c>
      <c r="B72" s="59">
        <f>(22/63)</f>
        <v>0.34920634920634919</v>
      </c>
    </row>
    <row r="73" spans="1:2" x14ac:dyDescent="0.25">
      <c r="A73" s="10" t="s">
        <v>35</v>
      </c>
      <c r="B73" s="59">
        <f>(22/64)</f>
        <v>0.34375</v>
      </c>
    </row>
    <row r="74" spans="1:2" x14ac:dyDescent="0.25">
      <c r="A74" s="134" t="s">
        <v>63</v>
      </c>
      <c r="B74" s="59">
        <f>(22/64)</f>
        <v>0.34375</v>
      </c>
    </row>
    <row r="75" spans="1:2" x14ac:dyDescent="0.25">
      <c r="A75" s="10" t="s">
        <v>36</v>
      </c>
      <c r="B75" s="59">
        <f>(21/64)</f>
        <v>0.328125</v>
      </c>
    </row>
    <row r="76" spans="1:2" x14ac:dyDescent="0.25">
      <c r="A76" s="57" t="s">
        <v>33</v>
      </c>
      <c r="B76" s="59">
        <f>(21/64)</f>
        <v>0.328125</v>
      </c>
    </row>
    <row r="77" spans="1:2" x14ac:dyDescent="0.25">
      <c r="A77" s="10" t="s">
        <v>71</v>
      </c>
      <c r="B77" s="59">
        <f>(20/64)</f>
        <v>0.3125</v>
      </c>
    </row>
    <row r="78" spans="1:2" x14ac:dyDescent="0.25">
      <c r="A78" s="10" t="s">
        <v>72</v>
      </c>
      <c r="B78" s="59">
        <f>(19/63)</f>
        <v>0.30158730158730157</v>
      </c>
    </row>
    <row r="79" spans="1:2" x14ac:dyDescent="0.25">
      <c r="A79" s="57" t="s">
        <v>59</v>
      </c>
      <c r="B79" s="59">
        <f>(19/64)</f>
        <v>0.296875</v>
      </c>
    </row>
    <row r="80" spans="1:2" x14ac:dyDescent="0.25">
      <c r="A80" s="217" t="s">
        <v>53</v>
      </c>
      <c r="B80" s="59">
        <f>(18/64)</f>
        <v>0.28125</v>
      </c>
    </row>
    <row r="81" spans="1:2" x14ac:dyDescent="0.25">
      <c r="A81" s="57" t="s">
        <v>32</v>
      </c>
      <c r="B81" s="59">
        <f>(18/64)</f>
        <v>0.28125</v>
      </c>
    </row>
    <row r="82" spans="1:2" x14ac:dyDescent="0.25">
      <c r="A82" s="57" t="s">
        <v>34</v>
      </c>
      <c r="B82" s="59">
        <f>(18/64)</f>
        <v>0.28125</v>
      </c>
    </row>
    <row r="83" spans="1:2" x14ac:dyDescent="0.25">
      <c r="A83" s="57" t="s">
        <v>57</v>
      </c>
      <c r="B83" s="59">
        <f>(17/64)</f>
        <v>0.265625</v>
      </c>
    </row>
    <row r="84" spans="1:2" x14ac:dyDescent="0.25">
      <c r="A84" s="10" t="s">
        <v>44</v>
      </c>
      <c r="B84" s="59">
        <f>(17/64)</f>
        <v>0.265625</v>
      </c>
    </row>
    <row r="85" spans="1:2" x14ac:dyDescent="0.25">
      <c r="A85" s="217" t="s">
        <v>50</v>
      </c>
      <c r="B85" s="59">
        <f>(17/64)</f>
        <v>0.265625</v>
      </c>
    </row>
    <row r="86" spans="1:2" x14ac:dyDescent="0.25">
      <c r="A86" s="57" t="s">
        <v>12</v>
      </c>
      <c r="B86" s="59">
        <f>(16/63)</f>
        <v>0.25396825396825395</v>
      </c>
    </row>
    <row r="87" spans="1:2" x14ac:dyDescent="0.25">
      <c r="A87" s="217" t="s">
        <v>116</v>
      </c>
      <c r="B87" s="159">
        <f>(16/64)</f>
        <v>0.25</v>
      </c>
    </row>
    <row r="88" spans="1:2" x14ac:dyDescent="0.25">
      <c r="A88" s="217" t="s">
        <v>130</v>
      </c>
      <c r="B88" s="59">
        <f>(15/64)</f>
        <v>0.234375</v>
      </c>
    </row>
    <row r="89" spans="1:2" x14ac:dyDescent="0.25">
      <c r="A89" s="10" t="s">
        <v>31</v>
      </c>
      <c r="B89" s="59">
        <f>(15/64)</f>
        <v>0.234375</v>
      </c>
    </row>
    <row r="90" spans="1:2" x14ac:dyDescent="0.25">
      <c r="A90" s="134" t="s">
        <v>120</v>
      </c>
      <c r="B90" s="59">
        <f>(14/64)</f>
        <v>0.21875</v>
      </c>
    </row>
    <row r="91" spans="1:2" x14ac:dyDescent="0.25">
      <c r="A91" s="134" t="s">
        <v>123</v>
      </c>
      <c r="B91" s="59">
        <f>(14/64)</f>
        <v>0.21875</v>
      </c>
    </row>
    <row r="92" spans="1:2" x14ac:dyDescent="0.25">
      <c r="A92" s="57" t="s">
        <v>3</v>
      </c>
      <c r="B92" s="59">
        <f>(14/64)</f>
        <v>0.21875</v>
      </c>
    </row>
    <row r="93" spans="1:2" x14ac:dyDescent="0.25">
      <c r="A93" s="57" t="s">
        <v>91</v>
      </c>
      <c r="B93" s="59">
        <f>(13/63)</f>
        <v>0.20634920634920634</v>
      </c>
    </row>
    <row r="94" spans="1:2" x14ac:dyDescent="0.25">
      <c r="A94" s="134" t="s">
        <v>115</v>
      </c>
      <c r="B94" s="159">
        <f>(13/64)</f>
        <v>0.203125</v>
      </c>
    </row>
    <row r="95" spans="1:2" x14ac:dyDescent="0.25">
      <c r="A95" s="217" t="s">
        <v>129</v>
      </c>
      <c r="B95" s="59">
        <f>(13/64)</f>
        <v>0.203125</v>
      </c>
    </row>
    <row r="96" spans="1:2" x14ac:dyDescent="0.25">
      <c r="A96" s="57" t="s">
        <v>90</v>
      </c>
      <c r="B96" s="59">
        <f>(12/64)</f>
        <v>0.1875</v>
      </c>
    </row>
    <row r="97" spans="1:2" x14ac:dyDescent="0.25">
      <c r="A97" s="134" t="s">
        <v>121</v>
      </c>
      <c r="B97" s="59">
        <f>(11/64)</f>
        <v>0.171875</v>
      </c>
    </row>
    <row r="98" spans="1:2" x14ac:dyDescent="0.25">
      <c r="A98" s="57" t="s">
        <v>56</v>
      </c>
      <c r="B98" s="59">
        <f>(10/64)</f>
        <v>0.15625</v>
      </c>
    </row>
    <row r="99" spans="1:2" x14ac:dyDescent="0.25">
      <c r="A99" s="134" t="s">
        <v>132</v>
      </c>
      <c r="B99" s="59">
        <f>(9/64)</f>
        <v>0.140625</v>
      </c>
    </row>
    <row r="100" spans="1:2" x14ac:dyDescent="0.25">
      <c r="A100" s="57" t="s">
        <v>68</v>
      </c>
      <c r="B100" s="59">
        <f>(7/64)</f>
        <v>0.109375</v>
      </c>
    </row>
    <row r="101" spans="1:2" x14ac:dyDescent="0.25">
      <c r="A101" s="134" t="s">
        <v>119</v>
      </c>
      <c r="B101" s="59">
        <f>(5/64)</f>
        <v>7.8125E-2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40"/>
  <sheetViews>
    <sheetView topLeftCell="A97" zoomScale="110" zoomScaleNormal="110" workbookViewId="0">
      <selection activeCell="B142" sqref="B142"/>
    </sheetView>
  </sheetViews>
  <sheetFormatPr baseColWidth="10" defaultRowHeight="15" x14ac:dyDescent="0.25"/>
  <cols>
    <col min="1" max="1" width="28.7109375" customWidth="1"/>
    <col min="2" max="2" width="11.85546875" customWidth="1"/>
    <col min="10" max="10" width="12.7109375" customWidth="1"/>
    <col min="11" max="11" width="9.140625" customWidth="1"/>
  </cols>
  <sheetData>
    <row r="3" spans="1:12" ht="15.75" thickBot="1" x14ac:dyDescent="0.3">
      <c r="A3" s="1" t="s">
        <v>76</v>
      </c>
      <c r="B3" s="3"/>
      <c r="C3" s="3"/>
      <c r="D3" s="3"/>
      <c r="E3" s="3"/>
      <c r="F3" s="3"/>
      <c r="G3" s="3"/>
      <c r="H3" s="3"/>
      <c r="I3" s="3"/>
    </row>
    <row r="4" spans="1:12" ht="15.75" thickBot="1" x14ac:dyDescent="0.3">
      <c r="A4" s="12"/>
      <c r="B4" s="53"/>
      <c r="C4" s="13" t="s">
        <v>105</v>
      </c>
      <c r="D4" s="13" t="s">
        <v>104</v>
      </c>
      <c r="E4" s="13" t="s">
        <v>106</v>
      </c>
      <c r="F4" s="13" t="s">
        <v>108</v>
      </c>
      <c r="G4" s="13" t="s">
        <v>107</v>
      </c>
      <c r="H4" s="13" t="s">
        <v>109</v>
      </c>
      <c r="I4" s="97" t="s">
        <v>110</v>
      </c>
      <c r="J4" s="111"/>
      <c r="K4" s="112" t="s">
        <v>134</v>
      </c>
      <c r="L4" s="81"/>
    </row>
    <row r="5" spans="1:12" x14ac:dyDescent="0.25">
      <c r="A5" s="54" t="s">
        <v>79</v>
      </c>
      <c r="B5" s="8" t="s">
        <v>96</v>
      </c>
      <c r="C5" s="8" t="s">
        <v>97</v>
      </c>
      <c r="D5" s="8" t="s">
        <v>98</v>
      </c>
      <c r="E5" s="8" t="s">
        <v>99</v>
      </c>
      <c r="F5" s="8" t="s">
        <v>100</v>
      </c>
      <c r="G5" s="8" t="s">
        <v>101</v>
      </c>
      <c r="H5" s="8" t="s">
        <v>102</v>
      </c>
      <c r="I5" s="55" t="s">
        <v>103</v>
      </c>
      <c r="J5" s="103" t="s">
        <v>114</v>
      </c>
      <c r="K5" s="113"/>
    </row>
    <row r="6" spans="1:12" ht="15.75" thickBot="1" x14ac:dyDescent="0.3">
      <c r="A6" s="33" t="s">
        <v>65</v>
      </c>
      <c r="B6" s="51">
        <f>(35/64)</f>
        <v>0.546875</v>
      </c>
      <c r="C6" s="22">
        <f>(6/9)</f>
        <v>0.66666666666666663</v>
      </c>
      <c r="D6" s="22">
        <f>(9/10)</f>
        <v>0.9</v>
      </c>
      <c r="E6" s="23">
        <f>(6/18)</f>
        <v>0.33333333333333331</v>
      </c>
      <c r="F6" s="22">
        <f>(8/10)</f>
        <v>0.8</v>
      </c>
      <c r="G6" s="22">
        <v>0</v>
      </c>
      <c r="H6" s="22">
        <f>(2/8)</f>
        <v>0.25</v>
      </c>
      <c r="I6" s="98">
        <f>(4/5)</f>
        <v>0.8</v>
      </c>
      <c r="J6" s="104">
        <f>(B6+B7+B8+B9+B10+B11+B12+B13+B14+B15+B16)/11</f>
        <v>0.37926136363636365</v>
      </c>
      <c r="K6" s="61">
        <v>35</v>
      </c>
      <c r="L6" s="82"/>
    </row>
    <row r="7" spans="1:12" ht="15.75" thickBot="1" x14ac:dyDescent="0.3">
      <c r="A7" s="33" t="s">
        <v>54</v>
      </c>
      <c r="B7" s="51">
        <f>(41/64)</f>
        <v>0.640625</v>
      </c>
      <c r="C7" s="22">
        <f>(2/9)</f>
        <v>0.22222222222222221</v>
      </c>
      <c r="D7" s="22">
        <v>1</v>
      </c>
      <c r="E7" s="22">
        <f>(15/18)</f>
        <v>0.83333333333333337</v>
      </c>
      <c r="F7" s="22">
        <f>(5/10)</f>
        <v>0.5</v>
      </c>
      <c r="G7" s="22">
        <f>(2/4)</f>
        <v>0.5</v>
      </c>
      <c r="H7" s="22">
        <f>(3/8)</f>
        <v>0.375</v>
      </c>
      <c r="I7" s="98">
        <f>(4/5)</f>
        <v>0.8</v>
      </c>
      <c r="J7" s="102"/>
      <c r="K7" s="114">
        <v>41</v>
      </c>
      <c r="L7" s="82"/>
    </row>
    <row r="8" spans="1:12" ht="15.75" thickBot="1" x14ac:dyDescent="0.3">
      <c r="A8" s="33" t="s">
        <v>55</v>
      </c>
      <c r="B8" s="51">
        <f>(36/64)</f>
        <v>0.5625</v>
      </c>
      <c r="C8" s="22">
        <f>(3/9)</f>
        <v>0.33333333333333331</v>
      </c>
      <c r="D8" s="22">
        <f>(8/10)</f>
        <v>0.8</v>
      </c>
      <c r="E8" s="22">
        <f>(12/18)</f>
        <v>0.66666666666666663</v>
      </c>
      <c r="F8" s="22">
        <f>(5/10)</f>
        <v>0.5</v>
      </c>
      <c r="G8" s="22">
        <f>(2/4)</f>
        <v>0.5</v>
      </c>
      <c r="H8" s="22">
        <f>(3/8)</f>
        <v>0.375</v>
      </c>
      <c r="I8" s="98">
        <f>(3/5)</f>
        <v>0.6</v>
      </c>
      <c r="J8" s="57"/>
      <c r="K8" s="114">
        <v>36</v>
      </c>
      <c r="L8" s="82"/>
    </row>
    <row r="9" spans="1:12" ht="15.75" thickBot="1" x14ac:dyDescent="0.3">
      <c r="A9" s="96" t="s">
        <v>60</v>
      </c>
      <c r="B9" s="88">
        <f>(28/64)</f>
        <v>0.4375</v>
      </c>
      <c r="C9" s="22">
        <f>(3/9)</f>
        <v>0.33333333333333331</v>
      </c>
      <c r="D9" s="22">
        <v>1</v>
      </c>
      <c r="E9" s="22">
        <f>(1/18)</f>
        <v>5.5555555555555552E-2</v>
      </c>
      <c r="F9" s="22">
        <f>(6/10)</f>
        <v>0.6</v>
      </c>
      <c r="G9" s="22">
        <f>(1/4)</f>
        <v>0.25</v>
      </c>
      <c r="H9" s="22">
        <f>(2/8)</f>
        <v>0.25</v>
      </c>
      <c r="I9" s="98">
        <v>1</v>
      </c>
      <c r="J9" s="57"/>
      <c r="K9" s="114">
        <v>28</v>
      </c>
      <c r="L9" s="83"/>
    </row>
    <row r="10" spans="1:12" ht="15.75" thickBot="1" x14ac:dyDescent="0.3">
      <c r="A10" s="34" t="s">
        <v>66</v>
      </c>
      <c r="B10" s="49">
        <f>(24/64)</f>
        <v>0.375</v>
      </c>
      <c r="C10" s="22">
        <f>(2/9)</f>
        <v>0.22222222222222221</v>
      </c>
      <c r="D10" s="22">
        <v>1</v>
      </c>
      <c r="E10" s="22">
        <f>(2/18)</f>
        <v>0.1111111111111111</v>
      </c>
      <c r="F10" s="22">
        <f>(6/10)</f>
        <v>0.6</v>
      </c>
      <c r="G10" s="22">
        <v>0</v>
      </c>
      <c r="H10" s="22">
        <f>(2/8)</f>
        <v>0.25</v>
      </c>
      <c r="I10" s="98">
        <f>(2/5)</f>
        <v>0.4</v>
      </c>
      <c r="J10" s="57"/>
      <c r="K10" s="114">
        <v>24</v>
      </c>
      <c r="L10" s="83"/>
    </row>
    <row r="11" spans="1:12" ht="15.75" thickBot="1" x14ac:dyDescent="0.3">
      <c r="A11" s="34" t="s">
        <v>59</v>
      </c>
      <c r="B11" s="49">
        <f>(19/64)</f>
        <v>0.296875</v>
      </c>
      <c r="C11" s="22">
        <f>(2/9)</f>
        <v>0.22222222222222221</v>
      </c>
      <c r="D11" s="22">
        <f>(4/10)</f>
        <v>0.4</v>
      </c>
      <c r="E11" s="22">
        <v>0</v>
      </c>
      <c r="F11" s="22">
        <f>(3/10)</f>
        <v>0.3</v>
      </c>
      <c r="G11" s="22">
        <v>0</v>
      </c>
      <c r="H11" s="22">
        <f>(8/8)</f>
        <v>1</v>
      </c>
      <c r="I11" s="98">
        <f>(2/5)</f>
        <v>0.4</v>
      </c>
      <c r="J11" s="57"/>
      <c r="K11" s="114">
        <v>19</v>
      </c>
      <c r="L11" s="83"/>
    </row>
    <row r="12" spans="1:12" ht="15.75" thickBot="1" x14ac:dyDescent="0.3">
      <c r="A12" s="34" t="s">
        <v>58</v>
      </c>
      <c r="B12" s="49">
        <f>(25/64)</f>
        <v>0.390625</v>
      </c>
      <c r="C12" s="22">
        <f>(2/9)</f>
        <v>0.22222222222222221</v>
      </c>
      <c r="D12" s="22">
        <v>1</v>
      </c>
      <c r="E12" s="22">
        <f>(4/18)</f>
        <v>0.22222222222222221</v>
      </c>
      <c r="F12" s="22">
        <f>(3/10)</f>
        <v>0.3</v>
      </c>
      <c r="G12" s="22">
        <v>0</v>
      </c>
      <c r="H12" s="22">
        <f>(5/8)</f>
        <v>0.625</v>
      </c>
      <c r="I12" s="98">
        <f>(1/5)</f>
        <v>0.2</v>
      </c>
      <c r="J12" s="57"/>
      <c r="K12" s="114">
        <v>25</v>
      </c>
      <c r="L12" s="83"/>
    </row>
    <row r="13" spans="1:12" ht="15.75" thickBot="1" x14ac:dyDescent="0.3">
      <c r="A13" s="34" t="s">
        <v>67</v>
      </c>
      <c r="B13" s="49">
        <f>(25/64)</f>
        <v>0.390625</v>
      </c>
      <c r="C13" s="22">
        <f>(2/9)</f>
        <v>0.22222222222222221</v>
      </c>
      <c r="D13" s="22">
        <f>(8/10)</f>
        <v>0.8</v>
      </c>
      <c r="E13" s="22">
        <f>(5/18)</f>
        <v>0.27777777777777779</v>
      </c>
      <c r="F13" s="22">
        <f>(5/10)</f>
        <v>0.5</v>
      </c>
      <c r="G13" s="22">
        <v>0</v>
      </c>
      <c r="H13" s="22">
        <f>(2/8)</f>
        <v>0.25</v>
      </c>
      <c r="I13" s="98">
        <f>(3/5)</f>
        <v>0.6</v>
      </c>
      <c r="J13" s="57"/>
      <c r="K13" s="114">
        <v>25</v>
      </c>
      <c r="L13" s="83"/>
    </row>
    <row r="14" spans="1:12" ht="15.75" thickBot="1" x14ac:dyDescent="0.3">
      <c r="A14" s="34" t="s">
        <v>57</v>
      </c>
      <c r="B14" s="49">
        <f>(17/64)</f>
        <v>0.265625</v>
      </c>
      <c r="C14" s="22">
        <f>(2/9)</f>
        <v>0.22222222222222221</v>
      </c>
      <c r="D14" s="22">
        <f>(7/10)</f>
        <v>0.7</v>
      </c>
      <c r="E14" s="22">
        <f>(0/18)</f>
        <v>0</v>
      </c>
      <c r="F14" s="22">
        <f>(4/10)</f>
        <v>0.4</v>
      </c>
      <c r="G14" s="22">
        <v>0</v>
      </c>
      <c r="H14" s="22">
        <f>(4/8)</f>
        <v>0.5</v>
      </c>
      <c r="I14" s="98">
        <v>0</v>
      </c>
      <c r="J14" s="57"/>
      <c r="K14" s="114">
        <v>17</v>
      </c>
      <c r="L14" s="83"/>
    </row>
    <row r="15" spans="1:12" ht="15.75" thickBot="1" x14ac:dyDescent="0.3">
      <c r="A15" s="34" t="s">
        <v>56</v>
      </c>
      <c r="B15" s="49">
        <f>(10/64)</f>
        <v>0.15625</v>
      </c>
      <c r="C15" s="22">
        <v>0</v>
      </c>
      <c r="D15" s="22">
        <f>(5/10)</f>
        <v>0.5</v>
      </c>
      <c r="E15" s="22">
        <v>0</v>
      </c>
      <c r="F15" s="22">
        <f>(2/10)</f>
        <v>0.2</v>
      </c>
      <c r="G15" s="22">
        <v>0</v>
      </c>
      <c r="H15" s="22">
        <v>0</v>
      </c>
      <c r="I15" s="98">
        <f>(3/5)</f>
        <v>0.6</v>
      </c>
      <c r="J15" s="57"/>
      <c r="K15" s="114">
        <v>10</v>
      </c>
      <c r="L15" s="83"/>
    </row>
    <row r="16" spans="1:12" ht="15.75" thickBot="1" x14ac:dyDescent="0.3">
      <c r="A16" s="35" t="s">
        <v>68</v>
      </c>
      <c r="B16" s="49">
        <f>(7/64)</f>
        <v>0.109375</v>
      </c>
      <c r="C16" s="31">
        <v>0</v>
      </c>
      <c r="D16" s="31">
        <f>(4/10)</f>
        <v>0.4</v>
      </c>
      <c r="E16" s="31">
        <v>0</v>
      </c>
      <c r="F16" s="31">
        <f>(1/10)</f>
        <v>0.1</v>
      </c>
      <c r="G16" s="31">
        <v>0</v>
      </c>
      <c r="H16" s="31">
        <f>(2/8)</f>
        <v>0.25</v>
      </c>
      <c r="I16" s="99">
        <v>0</v>
      </c>
      <c r="J16" s="115"/>
      <c r="K16" s="116">
        <v>7</v>
      </c>
      <c r="L16" s="83"/>
    </row>
    <row r="17" spans="1:12" ht="15.75" thickBot="1" x14ac:dyDescent="0.3">
      <c r="A17" s="108"/>
      <c r="B17" s="109"/>
      <c r="C17" s="42" t="s">
        <v>105</v>
      </c>
      <c r="D17" s="42" t="s">
        <v>104</v>
      </c>
      <c r="E17" s="42" t="s">
        <v>106</v>
      </c>
      <c r="F17" s="42" t="s">
        <v>108</v>
      </c>
      <c r="G17" s="42" t="s">
        <v>107</v>
      </c>
      <c r="H17" s="42" t="s">
        <v>109</v>
      </c>
      <c r="I17" s="6" t="s">
        <v>110</v>
      </c>
      <c r="J17" s="110"/>
      <c r="K17" s="110"/>
    </row>
    <row r="18" spans="1:12" x14ac:dyDescent="0.25">
      <c r="A18" s="25" t="s">
        <v>80</v>
      </c>
      <c r="B18" s="26" t="s">
        <v>96</v>
      </c>
      <c r="C18" s="26" t="s">
        <v>97</v>
      </c>
      <c r="D18" s="26" t="s">
        <v>98</v>
      </c>
      <c r="E18" s="26" t="s">
        <v>99</v>
      </c>
      <c r="F18" s="26" t="s">
        <v>100</v>
      </c>
      <c r="G18" s="26" t="s">
        <v>101</v>
      </c>
      <c r="H18" s="26" t="s">
        <v>102</v>
      </c>
      <c r="I18" s="100" t="s">
        <v>103</v>
      </c>
      <c r="J18" s="103" t="s">
        <v>114</v>
      </c>
      <c r="K18" s="117"/>
    </row>
    <row r="19" spans="1:12" ht="15.75" thickBot="1" x14ac:dyDescent="0.3">
      <c r="A19" s="33" t="s">
        <v>43</v>
      </c>
      <c r="B19" s="51">
        <f>(32/64)</f>
        <v>0.5</v>
      </c>
      <c r="C19" s="22">
        <f>(3/9)</f>
        <v>0.33333333333333331</v>
      </c>
      <c r="D19" s="22">
        <v>1</v>
      </c>
      <c r="E19" s="22">
        <f>(6/18)</f>
        <v>0.33333333333333331</v>
      </c>
      <c r="F19" s="22">
        <f>(6/10)</f>
        <v>0.6</v>
      </c>
      <c r="G19" s="22">
        <v>0</v>
      </c>
      <c r="H19" s="22">
        <f>(3/8)</f>
        <v>0.375</v>
      </c>
      <c r="I19" s="98">
        <f>(4/5)</f>
        <v>0.8</v>
      </c>
      <c r="J19" s="104">
        <f>(B19+B20+B21+B22)/4</f>
        <v>0.3359375</v>
      </c>
      <c r="K19" s="61">
        <v>32</v>
      </c>
      <c r="L19" s="82"/>
    </row>
    <row r="20" spans="1:12" x14ac:dyDescent="0.25">
      <c r="A20" s="71" t="s">
        <v>42</v>
      </c>
      <c r="B20" s="80">
        <f>(24/64)</f>
        <v>0.375</v>
      </c>
      <c r="C20" s="79">
        <f>(2/9)</f>
        <v>0.22222222222222221</v>
      </c>
      <c r="D20" s="79">
        <f>(7/10)</f>
        <v>0.7</v>
      </c>
      <c r="E20" s="79">
        <f>(1/18)</f>
        <v>5.5555555555555552E-2</v>
      </c>
      <c r="F20" s="79">
        <f>(5/10)</f>
        <v>0.5</v>
      </c>
      <c r="G20" s="79">
        <v>0</v>
      </c>
      <c r="H20" s="79">
        <f>(5/24)</f>
        <v>0.20833333333333334</v>
      </c>
      <c r="I20" s="101">
        <f>(4/5)</f>
        <v>0.8</v>
      </c>
      <c r="J20" s="102"/>
      <c r="K20" s="114">
        <v>24</v>
      </c>
      <c r="L20" s="83"/>
    </row>
    <row r="21" spans="1:12" x14ac:dyDescent="0.25">
      <c r="A21" s="28" t="s">
        <v>44</v>
      </c>
      <c r="B21" s="59">
        <f>(17/64)</f>
        <v>0.265625</v>
      </c>
      <c r="C21" s="22">
        <f>(2/9)</f>
        <v>0.22222222222222221</v>
      </c>
      <c r="D21" s="22">
        <v>1</v>
      </c>
      <c r="E21" s="22">
        <f>(1/18)</f>
        <v>5.5555555555555552E-2</v>
      </c>
      <c r="F21" s="22">
        <f>(3/10)</f>
        <v>0.3</v>
      </c>
      <c r="G21" s="22">
        <v>0</v>
      </c>
      <c r="H21" s="22">
        <f>(1/8)</f>
        <v>0.125</v>
      </c>
      <c r="I21" s="98">
        <v>0</v>
      </c>
      <c r="J21" s="57"/>
      <c r="K21" s="114">
        <v>17</v>
      </c>
      <c r="L21" s="83"/>
    </row>
    <row r="22" spans="1:12" ht="15.75" thickBot="1" x14ac:dyDescent="0.3">
      <c r="A22" s="89" t="s">
        <v>115</v>
      </c>
      <c r="B22" s="118">
        <f>(13/64)</f>
        <v>0.203125</v>
      </c>
      <c r="C22" s="31">
        <f>(2/9)</f>
        <v>0.22222222222222221</v>
      </c>
      <c r="D22" s="31">
        <f>(5/10)</f>
        <v>0.5</v>
      </c>
      <c r="E22" s="31">
        <f>(1/18)</f>
        <v>5.5555555555555552E-2</v>
      </c>
      <c r="F22" s="31">
        <f>(4/10)</f>
        <v>0.4</v>
      </c>
      <c r="G22" s="31">
        <v>0</v>
      </c>
      <c r="H22" s="31">
        <v>0</v>
      </c>
      <c r="I22" s="99">
        <f>(1/5)</f>
        <v>0.2</v>
      </c>
      <c r="J22" s="115"/>
      <c r="K22" s="116">
        <v>13</v>
      </c>
      <c r="L22" s="83"/>
    </row>
    <row r="23" spans="1:12" ht="15.75" thickBot="1" x14ac:dyDescent="0.3">
      <c r="A23" s="7"/>
      <c r="K23" s="4"/>
    </row>
    <row r="24" spans="1:12" x14ac:dyDescent="0.25">
      <c r="A24" s="76" t="s">
        <v>81</v>
      </c>
      <c r="B24" s="26" t="s">
        <v>96</v>
      </c>
      <c r="C24" s="26" t="s">
        <v>97</v>
      </c>
      <c r="D24" s="26" t="s">
        <v>98</v>
      </c>
      <c r="E24" s="26" t="s">
        <v>99</v>
      </c>
      <c r="F24" s="26" t="s">
        <v>100</v>
      </c>
      <c r="G24" s="26" t="s">
        <v>101</v>
      </c>
      <c r="H24" s="26" t="s">
        <v>102</v>
      </c>
      <c r="I24" s="100" t="s">
        <v>103</v>
      </c>
      <c r="J24" s="103" t="s">
        <v>114</v>
      </c>
      <c r="K24" s="119"/>
    </row>
    <row r="25" spans="1:12" ht="15.75" thickBot="1" x14ac:dyDescent="0.3">
      <c r="A25" s="52" t="s">
        <v>77</v>
      </c>
      <c r="B25" s="39">
        <f>(46/64)</f>
        <v>0.71875</v>
      </c>
      <c r="C25" s="22">
        <f>(8/9)</f>
        <v>0.88888888888888884</v>
      </c>
      <c r="D25" s="22">
        <f>(8/10)</f>
        <v>0.8</v>
      </c>
      <c r="E25" s="22">
        <f>(15/18)</f>
        <v>0.83333333333333337</v>
      </c>
      <c r="F25" s="22">
        <f>(7/10)</f>
        <v>0.7</v>
      </c>
      <c r="G25" s="22">
        <f>(1/4)</f>
        <v>0.25</v>
      </c>
      <c r="H25" s="22">
        <f>(2/8)</f>
        <v>0.25</v>
      </c>
      <c r="I25" s="98">
        <v>1</v>
      </c>
      <c r="J25" s="104">
        <f>(B25+B26+B27+B28)/4</f>
        <v>0.51953125</v>
      </c>
      <c r="K25" s="61">
        <v>46</v>
      </c>
      <c r="L25" s="82"/>
    </row>
    <row r="26" spans="1:12" x14ac:dyDescent="0.25">
      <c r="A26" s="33" t="s">
        <v>48</v>
      </c>
      <c r="B26" s="39">
        <f>(34/64)</f>
        <v>0.53125</v>
      </c>
      <c r="C26" s="22">
        <f>(3/9)</f>
        <v>0.33333333333333331</v>
      </c>
      <c r="D26" s="22">
        <f>(9/10)</f>
        <v>0.9</v>
      </c>
      <c r="E26" s="22">
        <f>(8/18)</f>
        <v>0.44444444444444442</v>
      </c>
      <c r="F26" s="22">
        <f>(7/10)</f>
        <v>0.7</v>
      </c>
      <c r="G26" s="22">
        <f>(1/4)</f>
        <v>0.25</v>
      </c>
      <c r="H26" s="22">
        <f>(3/8)</f>
        <v>0.375</v>
      </c>
      <c r="I26" s="22">
        <f>(3/5)</f>
        <v>0.6</v>
      </c>
      <c r="J26" s="102"/>
      <c r="K26" s="114">
        <v>34</v>
      </c>
      <c r="L26" s="82"/>
    </row>
    <row r="27" spans="1:12" x14ac:dyDescent="0.25">
      <c r="A27" s="90" t="s">
        <v>131</v>
      </c>
      <c r="B27" s="91">
        <f>(37/64)</f>
        <v>0.578125</v>
      </c>
      <c r="C27" s="22">
        <f>(5/9)</f>
        <v>0.55555555555555558</v>
      </c>
      <c r="D27" s="22">
        <f>(6/10)</f>
        <v>0.6</v>
      </c>
      <c r="E27" s="22">
        <f>(7/18)</f>
        <v>0.3888888888888889</v>
      </c>
      <c r="F27" s="22">
        <f>(7/10)</f>
        <v>0.7</v>
      </c>
      <c r="G27" s="22">
        <f>(1/4)</f>
        <v>0.25</v>
      </c>
      <c r="H27" s="22">
        <f>(8/8)</f>
        <v>1</v>
      </c>
      <c r="I27" s="22">
        <f>(3/5)</f>
        <v>0.6</v>
      </c>
      <c r="J27" s="57"/>
      <c r="K27" s="114">
        <v>37</v>
      </c>
      <c r="L27" s="82"/>
    </row>
    <row r="28" spans="1:12" ht="15.75" thickBot="1" x14ac:dyDescent="0.3">
      <c r="A28" s="92" t="s">
        <v>116</v>
      </c>
      <c r="B28" s="118">
        <f>(16/64)</f>
        <v>0.25</v>
      </c>
      <c r="C28" s="31">
        <v>0</v>
      </c>
      <c r="D28" s="31">
        <v>0</v>
      </c>
      <c r="E28" s="31">
        <f>(7/18)</f>
        <v>0.3888888888888889</v>
      </c>
      <c r="F28" s="31">
        <f>(5/10)</f>
        <v>0.5</v>
      </c>
      <c r="G28" s="31">
        <f>(1/4)</f>
        <v>0.25</v>
      </c>
      <c r="H28" s="31">
        <v>0</v>
      </c>
      <c r="I28" s="31">
        <f>(3/5)</f>
        <v>0.6</v>
      </c>
      <c r="J28" s="115"/>
      <c r="K28" s="116">
        <v>16</v>
      </c>
      <c r="L28" s="83"/>
    </row>
    <row r="29" spans="1:12" ht="15.75" thickBot="1" x14ac:dyDescent="0.3">
      <c r="A29" s="5"/>
      <c r="B29" s="9"/>
      <c r="C29" s="9"/>
      <c r="D29" s="9"/>
      <c r="E29" s="9"/>
      <c r="F29" s="9"/>
      <c r="G29" s="9"/>
      <c r="H29" s="9"/>
      <c r="I29" s="9"/>
      <c r="K29" s="4"/>
    </row>
    <row r="30" spans="1:12" x14ac:dyDescent="0.25">
      <c r="A30" s="76" t="s">
        <v>82</v>
      </c>
      <c r="B30" s="26" t="s">
        <v>96</v>
      </c>
      <c r="C30" s="26" t="s">
        <v>97</v>
      </c>
      <c r="D30" s="26" t="s">
        <v>98</v>
      </c>
      <c r="E30" s="26" t="s">
        <v>99</v>
      </c>
      <c r="F30" s="26" t="s">
        <v>100</v>
      </c>
      <c r="G30" s="26" t="s">
        <v>101</v>
      </c>
      <c r="H30" s="26" t="s">
        <v>102</v>
      </c>
      <c r="I30" s="100" t="s">
        <v>103</v>
      </c>
      <c r="J30" s="103" t="s">
        <v>114</v>
      </c>
      <c r="K30" s="119"/>
    </row>
    <row r="31" spans="1:12" ht="15.75" thickBot="1" x14ac:dyDescent="0.3">
      <c r="A31" s="28" t="s">
        <v>40</v>
      </c>
      <c r="B31" s="59">
        <f>(29/64)</f>
        <v>0.453125</v>
      </c>
      <c r="C31" s="22">
        <f>(4/9)</f>
        <v>0.44444444444444442</v>
      </c>
      <c r="D31" s="22">
        <f>(6/10)</f>
        <v>0.6</v>
      </c>
      <c r="E31" s="22">
        <f>(7/18)</f>
        <v>0.3888888888888889</v>
      </c>
      <c r="F31" s="22">
        <f>(1/10)</f>
        <v>0.1</v>
      </c>
      <c r="G31" s="22">
        <v>0</v>
      </c>
      <c r="H31" s="22">
        <f>(8/8)</f>
        <v>1</v>
      </c>
      <c r="I31" s="98">
        <f>(3/5)</f>
        <v>0.6</v>
      </c>
      <c r="J31" s="107">
        <f>(B31+B32+B33)/3</f>
        <v>0.53125</v>
      </c>
      <c r="K31" s="137">
        <v>29</v>
      </c>
      <c r="L31" s="83"/>
    </row>
    <row r="32" spans="1:12" x14ac:dyDescent="0.25">
      <c r="A32" s="93" t="s">
        <v>117</v>
      </c>
      <c r="B32" s="39">
        <f>(39/64)</f>
        <v>0.609375</v>
      </c>
      <c r="C32" s="22">
        <f>(4/9)</f>
        <v>0.44444444444444442</v>
      </c>
      <c r="D32" s="22">
        <f>(6/10)</f>
        <v>0.6</v>
      </c>
      <c r="E32" s="22">
        <f>(10/18)</f>
        <v>0.55555555555555558</v>
      </c>
      <c r="F32" s="22">
        <f>(3/10)</f>
        <v>0.3</v>
      </c>
      <c r="G32" s="22">
        <f>(2/4)</f>
        <v>0.5</v>
      </c>
      <c r="H32" s="22">
        <f>(8/8)</f>
        <v>1</v>
      </c>
      <c r="I32" s="22">
        <f>(3/5)</f>
        <v>0.6</v>
      </c>
      <c r="J32" s="106"/>
      <c r="K32" s="114">
        <v>39</v>
      </c>
      <c r="L32" s="82"/>
    </row>
    <row r="33" spans="1:13" ht="15.75" thickBot="1" x14ac:dyDescent="0.3">
      <c r="A33" s="89" t="s">
        <v>118</v>
      </c>
      <c r="B33" s="41">
        <f>(34/64)</f>
        <v>0.53125</v>
      </c>
      <c r="C33" s="31">
        <f>(4/9)</f>
        <v>0.44444444444444442</v>
      </c>
      <c r="D33" s="31">
        <f>(9/10)</f>
        <v>0.9</v>
      </c>
      <c r="E33" s="31">
        <f>(12/18)</f>
        <v>0.66666666666666663</v>
      </c>
      <c r="F33" s="31">
        <f>(3/10)</f>
        <v>0.3</v>
      </c>
      <c r="G33" s="31">
        <v>0</v>
      </c>
      <c r="H33" s="31">
        <f>(1/8)</f>
        <v>0.125</v>
      </c>
      <c r="I33" s="31">
        <f>(5/5)</f>
        <v>1</v>
      </c>
      <c r="J33" s="120"/>
      <c r="K33" s="116">
        <v>34</v>
      </c>
      <c r="L33" s="83"/>
    </row>
    <row r="34" spans="1:13" ht="15.75" thickBot="1" x14ac:dyDescent="0.3">
      <c r="A34" s="7"/>
    </row>
    <row r="35" spans="1:13" x14ac:dyDescent="0.25">
      <c r="A35" s="76" t="s">
        <v>83</v>
      </c>
      <c r="B35" s="26" t="s">
        <v>96</v>
      </c>
      <c r="C35" s="26" t="s">
        <v>97</v>
      </c>
      <c r="D35" s="26" t="s">
        <v>98</v>
      </c>
      <c r="E35" s="26" t="s">
        <v>99</v>
      </c>
      <c r="F35" s="26" t="s">
        <v>100</v>
      </c>
      <c r="G35" s="26" t="s">
        <v>101</v>
      </c>
      <c r="H35" s="26" t="s">
        <v>102</v>
      </c>
      <c r="I35" s="100" t="s">
        <v>103</v>
      </c>
      <c r="J35" s="103" t="s">
        <v>114</v>
      </c>
      <c r="K35" s="121"/>
    </row>
    <row r="36" spans="1:13" ht="15.75" thickBot="1" x14ac:dyDescent="0.3">
      <c r="A36" s="48" t="s">
        <v>52</v>
      </c>
      <c r="B36" s="59">
        <f>(26/64)</f>
        <v>0.40625</v>
      </c>
      <c r="C36" s="22">
        <f>(3/9)</f>
        <v>0.33333333333333331</v>
      </c>
      <c r="D36" s="22">
        <f>(9/10)</f>
        <v>0.9</v>
      </c>
      <c r="E36" s="22">
        <f>(1/18)</f>
        <v>5.5555555555555552E-2</v>
      </c>
      <c r="F36" s="22">
        <f>(7/10)</f>
        <v>0.7</v>
      </c>
      <c r="G36" s="22">
        <v>0</v>
      </c>
      <c r="H36" s="22">
        <f>(2/18)</f>
        <v>0.1111111111111111</v>
      </c>
      <c r="I36" s="98">
        <f>(4/5)</f>
        <v>0.8</v>
      </c>
      <c r="J36" s="104">
        <f>(B36+B37+B38+B39)/4</f>
        <v>0.39453125</v>
      </c>
      <c r="K36" s="61">
        <v>26</v>
      </c>
      <c r="L36" s="82"/>
    </row>
    <row r="37" spans="1:13" x14ac:dyDescent="0.25">
      <c r="A37" s="33" t="s">
        <v>51</v>
      </c>
      <c r="B37" s="39">
        <f>(40/64)</f>
        <v>0.625</v>
      </c>
      <c r="C37" s="22">
        <f>(5/9)</f>
        <v>0.55555555555555558</v>
      </c>
      <c r="D37" s="22">
        <f>(9/10)</f>
        <v>0.9</v>
      </c>
      <c r="E37" s="22">
        <f>(10/18)</f>
        <v>0.55555555555555558</v>
      </c>
      <c r="F37" s="22">
        <f>(8/10)</f>
        <v>0.8</v>
      </c>
      <c r="G37" s="22">
        <v>0</v>
      </c>
      <c r="H37" s="22">
        <f>(3/8)</f>
        <v>0.375</v>
      </c>
      <c r="I37" s="22">
        <v>1</v>
      </c>
      <c r="J37" s="102"/>
      <c r="K37" s="114">
        <v>40</v>
      </c>
      <c r="L37" s="82"/>
    </row>
    <row r="38" spans="1:13" x14ac:dyDescent="0.25">
      <c r="A38" s="95" t="s">
        <v>53</v>
      </c>
      <c r="B38" s="59">
        <f>(18/64)</f>
        <v>0.28125</v>
      </c>
      <c r="C38" s="22">
        <f>(3/9)</f>
        <v>0.33333333333333331</v>
      </c>
      <c r="D38" s="22">
        <f>(9/10)</f>
        <v>0.9</v>
      </c>
      <c r="E38" s="22">
        <v>0</v>
      </c>
      <c r="F38" s="22">
        <f>(1/10)</f>
        <v>0.1</v>
      </c>
      <c r="G38" s="22">
        <v>0</v>
      </c>
      <c r="H38" s="22">
        <f>(3/8)</f>
        <v>0.375</v>
      </c>
      <c r="I38" s="22">
        <f>(2/5)</f>
        <v>0.4</v>
      </c>
      <c r="J38" s="57"/>
      <c r="K38" s="114">
        <v>18</v>
      </c>
      <c r="L38" s="82"/>
    </row>
    <row r="39" spans="1:13" ht="15.75" thickBot="1" x14ac:dyDescent="0.3">
      <c r="A39" s="92" t="s">
        <v>50</v>
      </c>
      <c r="B39" s="84">
        <f>(17/64)</f>
        <v>0.265625</v>
      </c>
      <c r="C39" s="31">
        <f>(2/9)</f>
        <v>0.22222222222222221</v>
      </c>
      <c r="D39" s="31">
        <f>(5/10)</f>
        <v>0.5</v>
      </c>
      <c r="E39" s="31">
        <v>0</v>
      </c>
      <c r="F39" s="31">
        <v>0</v>
      </c>
      <c r="G39" s="31">
        <v>0</v>
      </c>
      <c r="H39" s="31">
        <f>(8/8)</f>
        <v>1</v>
      </c>
      <c r="I39" s="31">
        <f>(2/5)</f>
        <v>0.4</v>
      </c>
      <c r="J39" s="115"/>
      <c r="K39" s="116">
        <v>17</v>
      </c>
      <c r="L39" s="82"/>
    </row>
    <row r="40" spans="1:13" ht="15.75" thickBot="1" x14ac:dyDescent="0.3">
      <c r="A40" s="2"/>
      <c r="B40" s="50"/>
      <c r="C40" s="42" t="s">
        <v>105</v>
      </c>
      <c r="D40" s="42" t="s">
        <v>104</v>
      </c>
      <c r="E40" s="42" t="s">
        <v>106</v>
      </c>
      <c r="F40" s="42" t="s">
        <v>108</v>
      </c>
      <c r="G40" s="42" t="s">
        <v>107</v>
      </c>
      <c r="H40" s="42" t="s">
        <v>109</v>
      </c>
      <c r="I40" s="43" t="s">
        <v>110</v>
      </c>
    </row>
    <row r="41" spans="1:13" x14ac:dyDescent="0.25">
      <c r="A41" s="76" t="s">
        <v>84</v>
      </c>
      <c r="B41" s="26" t="s">
        <v>96</v>
      </c>
      <c r="C41" s="26" t="s">
        <v>97</v>
      </c>
      <c r="D41" s="26" t="s">
        <v>98</v>
      </c>
      <c r="E41" s="26" t="s">
        <v>99</v>
      </c>
      <c r="F41" s="26" t="s">
        <v>100</v>
      </c>
      <c r="G41" s="26" t="s">
        <v>101</v>
      </c>
      <c r="H41" s="26" t="s">
        <v>102</v>
      </c>
      <c r="I41" s="100" t="s">
        <v>103</v>
      </c>
      <c r="J41" s="103" t="s">
        <v>114</v>
      </c>
      <c r="K41" s="121"/>
    </row>
    <row r="42" spans="1:13" ht="15.75" thickBot="1" x14ac:dyDescent="0.3">
      <c r="A42" s="28" t="s">
        <v>41</v>
      </c>
      <c r="B42" s="59">
        <f>(24/64)</f>
        <v>0.375</v>
      </c>
      <c r="C42" s="22">
        <f>(3/9)</f>
        <v>0.33333333333333331</v>
      </c>
      <c r="D42" s="22">
        <f>(9/10)</f>
        <v>0.9</v>
      </c>
      <c r="E42" s="22">
        <v>0</v>
      </c>
      <c r="F42" s="22">
        <f>(5/10)</f>
        <v>0.5</v>
      </c>
      <c r="G42" s="22">
        <v>0</v>
      </c>
      <c r="H42" s="22">
        <f>(5/8)</f>
        <v>0.625</v>
      </c>
      <c r="I42" s="98">
        <f>(2/5)</f>
        <v>0.4</v>
      </c>
      <c r="J42" s="107">
        <f>(B42+B43+B44+B45)/4</f>
        <v>0.2109375</v>
      </c>
      <c r="K42" s="61">
        <v>24</v>
      </c>
      <c r="L42" s="83"/>
    </row>
    <row r="43" spans="1:13" x14ac:dyDescent="0.25">
      <c r="A43" s="93" t="s">
        <v>119</v>
      </c>
      <c r="B43" s="59">
        <f>(5/64)</f>
        <v>7.8125E-2</v>
      </c>
      <c r="C43" s="22">
        <f>(1/9)</f>
        <v>0.1111111111111111</v>
      </c>
      <c r="D43" s="22">
        <f>(4/10)</f>
        <v>0.4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106"/>
      <c r="K43" s="136">
        <v>5</v>
      </c>
      <c r="L43" s="83"/>
    </row>
    <row r="44" spans="1:13" x14ac:dyDescent="0.25">
      <c r="A44" s="93" t="s">
        <v>120</v>
      </c>
      <c r="B44" s="59">
        <f>(14/64)</f>
        <v>0.21875</v>
      </c>
      <c r="C44" s="22">
        <f>(2/9)</f>
        <v>0.22222222222222221</v>
      </c>
      <c r="D44" s="22">
        <f>(8/10)</f>
        <v>0.8</v>
      </c>
      <c r="E44" s="22">
        <v>0</v>
      </c>
      <c r="F44" s="22">
        <f>(1/10)</f>
        <v>0.1</v>
      </c>
      <c r="G44" s="22">
        <v>0</v>
      </c>
      <c r="H44" s="22">
        <f>(1/8)</f>
        <v>0.125</v>
      </c>
      <c r="I44" s="22">
        <f>(2/5)</f>
        <v>0.4</v>
      </c>
      <c r="J44" s="105"/>
      <c r="K44" s="114">
        <v>14</v>
      </c>
      <c r="L44" s="83"/>
    </row>
    <row r="45" spans="1:13" ht="15.75" thickBot="1" x14ac:dyDescent="0.3">
      <c r="A45" s="89" t="s">
        <v>121</v>
      </c>
      <c r="B45" s="84">
        <f>(11/64)</f>
        <v>0.171875</v>
      </c>
      <c r="C45" s="31">
        <f>(1/9)</f>
        <v>0.1111111111111111</v>
      </c>
      <c r="D45" s="31">
        <f>(4/10)</f>
        <v>0.4</v>
      </c>
      <c r="E45" s="31">
        <v>0</v>
      </c>
      <c r="F45" s="31">
        <v>0</v>
      </c>
      <c r="G45" s="31">
        <v>0</v>
      </c>
      <c r="H45" s="31">
        <f>(3/8)</f>
        <v>0.375</v>
      </c>
      <c r="I45" s="31">
        <f>(3/5)</f>
        <v>0.6</v>
      </c>
      <c r="J45" s="120"/>
      <c r="K45" s="116">
        <v>11</v>
      </c>
      <c r="L45" s="83"/>
    </row>
    <row r="46" spans="1:13" ht="15.75" thickBot="1" x14ac:dyDescent="0.3">
      <c r="A46" s="2"/>
    </row>
    <row r="47" spans="1:13" x14ac:dyDescent="0.25">
      <c r="A47" s="25" t="s">
        <v>85</v>
      </c>
      <c r="B47" s="26" t="s">
        <v>96</v>
      </c>
      <c r="C47" s="26" t="s">
        <v>97</v>
      </c>
      <c r="D47" s="26" t="s">
        <v>98</v>
      </c>
      <c r="E47" s="26" t="s">
        <v>99</v>
      </c>
      <c r="F47" s="26" t="s">
        <v>100</v>
      </c>
      <c r="G47" s="26" t="s">
        <v>101</v>
      </c>
      <c r="H47" s="26" t="s">
        <v>102</v>
      </c>
      <c r="I47" s="100" t="s">
        <v>103</v>
      </c>
      <c r="J47" s="103" t="s">
        <v>114</v>
      </c>
      <c r="K47" s="122"/>
    </row>
    <row r="48" spans="1:13" ht="15.75" thickBot="1" x14ac:dyDescent="0.3">
      <c r="A48" s="33" t="s">
        <v>23</v>
      </c>
      <c r="B48" s="123">
        <f>(41/63)</f>
        <v>0.65079365079365081</v>
      </c>
      <c r="C48" s="22">
        <f>(2/9)</f>
        <v>0.22222222222222221</v>
      </c>
      <c r="D48" s="22">
        <f>(10/10)</f>
        <v>1</v>
      </c>
      <c r="E48" s="22">
        <f>(9/18)</f>
        <v>0.5</v>
      </c>
      <c r="F48" s="22">
        <f>(8/10)</f>
        <v>0.8</v>
      </c>
      <c r="G48" s="22">
        <f>(2/4)</f>
        <v>0.5</v>
      </c>
      <c r="H48" s="45">
        <f>(6/7)</f>
        <v>0.8571428571428571</v>
      </c>
      <c r="I48" s="98">
        <f>(4/5)</f>
        <v>0.8</v>
      </c>
      <c r="J48" s="104">
        <f>(B48+B49+B50+B51+B52+B53+B54+B55+B56+B57)/9</f>
        <v>0.49071318342151671</v>
      </c>
      <c r="K48" s="61">
        <v>41</v>
      </c>
      <c r="L48" s="19" t="s">
        <v>136</v>
      </c>
      <c r="M48" s="19"/>
    </row>
    <row r="49" spans="1:12" x14ac:dyDescent="0.25">
      <c r="A49" s="33" t="s">
        <v>28</v>
      </c>
      <c r="B49" s="123">
        <f>(35/64)</f>
        <v>0.546875</v>
      </c>
      <c r="C49" s="22">
        <f>(6/9)</f>
        <v>0.66666666666666663</v>
      </c>
      <c r="D49" s="22">
        <v>1</v>
      </c>
      <c r="E49" s="22">
        <f>(4/18)</f>
        <v>0.22222222222222221</v>
      </c>
      <c r="F49" s="22">
        <f>(6/10)</f>
        <v>0.6</v>
      </c>
      <c r="G49" s="22">
        <f>(1/4)</f>
        <v>0.25</v>
      </c>
      <c r="H49" s="22">
        <f>(4/8)</f>
        <v>0.5</v>
      </c>
      <c r="I49" s="98">
        <f>(4/5)</f>
        <v>0.8</v>
      </c>
      <c r="J49" s="102"/>
      <c r="K49" s="114">
        <v>35</v>
      </c>
      <c r="L49" s="83"/>
    </row>
    <row r="50" spans="1:12" x14ac:dyDescent="0.25">
      <c r="A50" s="33" t="s">
        <v>24</v>
      </c>
      <c r="B50" s="123">
        <f>(43/64)</f>
        <v>0.671875</v>
      </c>
      <c r="C50" s="22">
        <f>(3/9)</f>
        <v>0.33333333333333331</v>
      </c>
      <c r="D50" s="22">
        <f>(9/10)</f>
        <v>0.9</v>
      </c>
      <c r="E50" s="22">
        <f>(15/18)</f>
        <v>0.83333333333333337</v>
      </c>
      <c r="F50" s="22">
        <f>(6/10)</f>
        <v>0.6</v>
      </c>
      <c r="G50" s="22">
        <v>0</v>
      </c>
      <c r="H50" s="22">
        <f>(5/8)</f>
        <v>0.625</v>
      </c>
      <c r="I50" s="98">
        <f>(4/5)</f>
        <v>0.8</v>
      </c>
      <c r="J50" s="57"/>
      <c r="K50" s="114">
        <v>43</v>
      </c>
      <c r="L50" s="82"/>
    </row>
    <row r="51" spans="1:12" x14ac:dyDescent="0.25">
      <c r="A51" s="33" t="s">
        <v>25</v>
      </c>
      <c r="B51" s="123">
        <f>(40/64)</f>
        <v>0.625</v>
      </c>
      <c r="C51" s="22">
        <f>(6/9)</f>
        <v>0.66666666666666663</v>
      </c>
      <c r="D51" s="22">
        <f>(10/10)</f>
        <v>1</v>
      </c>
      <c r="E51" s="22">
        <f>(11/18)</f>
        <v>0.61111111111111116</v>
      </c>
      <c r="F51" s="22">
        <f>(6/10)</f>
        <v>0.6</v>
      </c>
      <c r="G51" s="22">
        <v>0</v>
      </c>
      <c r="H51" s="22">
        <f>(4/8)</f>
        <v>0.5</v>
      </c>
      <c r="I51" s="98">
        <f>(3/5)</f>
        <v>0.6</v>
      </c>
      <c r="J51" s="57"/>
      <c r="K51" s="114">
        <v>40</v>
      </c>
      <c r="L51" s="82"/>
    </row>
    <row r="52" spans="1:12" x14ac:dyDescent="0.25">
      <c r="A52" s="34" t="s">
        <v>29</v>
      </c>
      <c r="B52" s="124">
        <f>(25/64)</f>
        <v>0.390625</v>
      </c>
      <c r="C52" s="22">
        <f>(1/9)</f>
        <v>0.1111111111111111</v>
      </c>
      <c r="D52" s="22">
        <f>(7/10)</f>
        <v>0.7</v>
      </c>
      <c r="E52" s="22">
        <f>(4/18)</f>
        <v>0.22222222222222221</v>
      </c>
      <c r="F52" s="22">
        <f>(7/10)</f>
        <v>0.7</v>
      </c>
      <c r="G52" s="22">
        <v>0</v>
      </c>
      <c r="H52" s="22">
        <f>(5/8)</f>
        <v>0.625</v>
      </c>
      <c r="I52" s="98">
        <f>(1/5)</f>
        <v>0.2</v>
      </c>
      <c r="J52" s="57"/>
      <c r="K52" s="114">
        <v>25</v>
      </c>
      <c r="L52" s="83"/>
    </row>
    <row r="53" spans="1:12" x14ac:dyDescent="0.25">
      <c r="A53" s="34" t="s">
        <v>26</v>
      </c>
      <c r="B53" s="124">
        <f>(23/64)</f>
        <v>0.359375</v>
      </c>
      <c r="C53" s="22">
        <f>(2/9)</f>
        <v>0.22222222222222221</v>
      </c>
      <c r="D53" s="22">
        <v>1</v>
      </c>
      <c r="E53" s="22">
        <v>0</v>
      </c>
      <c r="F53" s="22">
        <f>(1/10)</f>
        <v>0.1</v>
      </c>
      <c r="G53" s="22">
        <v>0</v>
      </c>
      <c r="H53" s="22">
        <f>(8/8)</f>
        <v>1</v>
      </c>
      <c r="I53" s="98">
        <f>(2/5)</f>
        <v>0.4</v>
      </c>
      <c r="J53" s="57"/>
      <c r="K53" s="114">
        <v>23</v>
      </c>
      <c r="L53" s="83"/>
    </row>
    <row r="54" spans="1:12" x14ac:dyDescent="0.25">
      <c r="A54" s="34" t="s">
        <v>22</v>
      </c>
      <c r="B54" s="124">
        <f>(23/64)</f>
        <v>0.359375</v>
      </c>
      <c r="C54" s="22">
        <f>(2/9)</f>
        <v>0.22222222222222221</v>
      </c>
      <c r="D54" s="22">
        <f>(8/10)</f>
        <v>0.8</v>
      </c>
      <c r="E54" s="22">
        <f>(3/18)</f>
        <v>0.16666666666666666</v>
      </c>
      <c r="F54" s="22">
        <f>(4/10)</f>
        <v>0.4</v>
      </c>
      <c r="G54" s="22">
        <v>0</v>
      </c>
      <c r="H54" s="22">
        <f>(4/8)</f>
        <v>0.5</v>
      </c>
      <c r="I54" s="98">
        <f>(2/5)</f>
        <v>0.4</v>
      </c>
      <c r="J54" s="57"/>
      <c r="K54" s="114">
        <v>23</v>
      </c>
      <c r="L54" s="83"/>
    </row>
    <row r="55" spans="1:12" x14ac:dyDescent="0.25">
      <c r="A55" s="34" t="s">
        <v>21</v>
      </c>
      <c r="B55" s="124">
        <f>(25/64)</f>
        <v>0.390625</v>
      </c>
      <c r="C55" s="22">
        <f>(3/9)</f>
        <v>0.33333333333333331</v>
      </c>
      <c r="D55" s="22">
        <f>(9/10)</f>
        <v>0.9</v>
      </c>
      <c r="E55" s="22">
        <f>(2/18)</f>
        <v>0.1111111111111111</v>
      </c>
      <c r="F55" s="22">
        <f>(6/10)</f>
        <v>0.6</v>
      </c>
      <c r="G55" s="22">
        <v>0</v>
      </c>
      <c r="H55" s="22">
        <f>(3/8)</f>
        <v>0.375</v>
      </c>
      <c r="I55" s="98">
        <f>(2/5)</f>
        <v>0.4</v>
      </c>
      <c r="J55" s="57"/>
      <c r="K55" s="114">
        <v>25</v>
      </c>
      <c r="L55" s="83"/>
    </row>
    <row r="56" spans="1:12" ht="15.75" thickBot="1" x14ac:dyDescent="0.3">
      <c r="A56" s="35" t="s">
        <v>27</v>
      </c>
      <c r="B56" s="125">
        <f>(27/64)</f>
        <v>0.421875</v>
      </c>
      <c r="C56" s="31">
        <f>(3/9)</f>
        <v>0.33333333333333331</v>
      </c>
      <c r="D56" s="31">
        <v>1</v>
      </c>
      <c r="E56" s="31">
        <f>(5/18)</f>
        <v>0.27777777777777779</v>
      </c>
      <c r="F56" s="31">
        <f>(6/10)</f>
        <v>0.6</v>
      </c>
      <c r="G56" s="31">
        <v>0</v>
      </c>
      <c r="H56" s="31">
        <v>0</v>
      </c>
      <c r="I56" s="99">
        <f>(3/5)</f>
        <v>0.6</v>
      </c>
      <c r="J56" s="115"/>
      <c r="K56" s="116">
        <v>27</v>
      </c>
      <c r="L56" s="83"/>
    </row>
    <row r="57" spans="1:12" ht="15.75" thickBot="1" x14ac:dyDescent="0.3">
      <c r="A57" s="2"/>
    </row>
    <row r="58" spans="1:12" x14ac:dyDescent="0.25">
      <c r="A58" s="25" t="s">
        <v>86</v>
      </c>
      <c r="B58" s="26" t="s">
        <v>96</v>
      </c>
      <c r="C58" s="26" t="s">
        <v>97</v>
      </c>
      <c r="D58" s="26" t="s">
        <v>98</v>
      </c>
      <c r="E58" s="26" t="s">
        <v>99</v>
      </c>
      <c r="F58" s="26" t="s">
        <v>100</v>
      </c>
      <c r="G58" s="26" t="s">
        <v>101</v>
      </c>
      <c r="H58" s="26" t="s">
        <v>102</v>
      </c>
      <c r="I58" s="100" t="s">
        <v>103</v>
      </c>
      <c r="J58" s="103" t="s">
        <v>114</v>
      </c>
      <c r="K58" s="121"/>
    </row>
    <row r="59" spans="1:12" ht="15.75" thickBot="1" x14ac:dyDescent="0.3">
      <c r="A59" s="28" t="s">
        <v>37</v>
      </c>
      <c r="B59" s="11">
        <f>(30/64)</f>
        <v>0.46875</v>
      </c>
      <c r="C59" s="22">
        <f>(3/9)</f>
        <v>0.33333333333333331</v>
      </c>
      <c r="D59" s="22">
        <f>(8/10)</f>
        <v>0.8</v>
      </c>
      <c r="E59" s="22">
        <f>(9/18)</f>
        <v>0.5</v>
      </c>
      <c r="F59" s="22">
        <f>(5/10)</f>
        <v>0.5</v>
      </c>
      <c r="G59" s="22">
        <v>0</v>
      </c>
      <c r="H59" s="22">
        <f>(2/8)</f>
        <v>0.25</v>
      </c>
      <c r="I59" s="98">
        <f>(3/5)</f>
        <v>0.6</v>
      </c>
      <c r="J59" s="104">
        <f>(B59+B60+B61+B62+B63)/5</f>
        <v>0.44062499999999999</v>
      </c>
      <c r="K59" s="61">
        <v>30</v>
      </c>
      <c r="L59" s="83"/>
    </row>
    <row r="60" spans="1:12" x14ac:dyDescent="0.25">
      <c r="A60" s="28" t="s">
        <v>36</v>
      </c>
      <c r="B60" s="11">
        <f>(21/64)</f>
        <v>0.328125</v>
      </c>
      <c r="C60" s="22">
        <f>(3/9)</f>
        <v>0.33333333333333331</v>
      </c>
      <c r="D60" s="22">
        <f>(8/10)</f>
        <v>0.8</v>
      </c>
      <c r="E60" s="22">
        <v>0</v>
      </c>
      <c r="F60" s="22">
        <f>(1/10)</f>
        <v>0.1</v>
      </c>
      <c r="G60" s="22">
        <v>0</v>
      </c>
      <c r="H60" s="22">
        <f>(7/8)</f>
        <v>0.875</v>
      </c>
      <c r="I60" s="98">
        <f>(2/5)</f>
        <v>0.4</v>
      </c>
      <c r="J60" s="102"/>
      <c r="K60" s="114">
        <v>21</v>
      </c>
      <c r="L60" s="83"/>
    </row>
    <row r="61" spans="1:12" x14ac:dyDescent="0.25">
      <c r="A61" s="28" t="s">
        <v>71</v>
      </c>
      <c r="B61" s="11">
        <f>(20/64)</f>
        <v>0.3125</v>
      </c>
      <c r="C61" s="22">
        <f>(2/9)</f>
        <v>0.22222222222222221</v>
      </c>
      <c r="D61" s="22">
        <f>(9/10)</f>
        <v>0.9</v>
      </c>
      <c r="E61" s="22">
        <v>0</v>
      </c>
      <c r="F61" s="22">
        <f>(1/10)</f>
        <v>0.1</v>
      </c>
      <c r="G61" s="22">
        <v>1</v>
      </c>
      <c r="H61" s="22">
        <f>(3/8)</f>
        <v>0.375</v>
      </c>
      <c r="I61" s="98">
        <f>(1/5)</f>
        <v>0.2</v>
      </c>
      <c r="J61" s="57"/>
      <c r="K61" s="114">
        <v>20</v>
      </c>
      <c r="L61" s="83"/>
    </row>
    <row r="62" spans="1:12" x14ac:dyDescent="0.25">
      <c r="A62" s="33" t="s">
        <v>75</v>
      </c>
      <c r="B62" s="21">
        <f>(48/64)</f>
        <v>0.75</v>
      </c>
      <c r="C62" s="22">
        <f>(6/9)</f>
        <v>0.66666666666666663</v>
      </c>
      <c r="D62" s="22">
        <f>(9/10)</f>
        <v>0.9</v>
      </c>
      <c r="E62" s="22">
        <f>(10/18)</f>
        <v>0.55555555555555558</v>
      </c>
      <c r="F62" s="22">
        <f>(10/10)</f>
        <v>1</v>
      </c>
      <c r="G62" s="22">
        <f>(1/4)</f>
        <v>0.25</v>
      </c>
      <c r="H62" s="22">
        <f>(8/8)</f>
        <v>1</v>
      </c>
      <c r="I62" s="98">
        <f>(4/5)</f>
        <v>0.8</v>
      </c>
      <c r="J62" s="57"/>
      <c r="K62" s="114">
        <v>48</v>
      </c>
      <c r="L62" s="82"/>
    </row>
    <row r="63" spans="1:12" ht="15.75" thickBot="1" x14ac:dyDescent="0.3">
      <c r="A63" s="29" t="s">
        <v>35</v>
      </c>
      <c r="B63" s="30">
        <f>(22/64)</f>
        <v>0.34375</v>
      </c>
      <c r="C63" s="31">
        <f>(3/9)</f>
        <v>0.33333333333333331</v>
      </c>
      <c r="D63" s="31">
        <f>(9/10)</f>
        <v>0.9</v>
      </c>
      <c r="E63" s="31">
        <v>0</v>
      </c>
      <c r="F63" s="31">
        <f>(1/10)</f>
        <v>0.1</v>
      </c>
      <c r="G63" s="31">
        <v>0</v>
      </c>
      <c r="H63" s="31">
        <f>(8/8)</f>
        <v>1</v>
      </c>
      <c r="I63" s="99">
        <f>(1/5)</f>
        <v>0.2</v>
      </c>
      <c r="J63" s="70"/>
      <c r="K63" s="128">
        <v>22</v>
      </c>
      <c r="L63" s="83"/>
    </row>
    <row r="64" spans="1:12" ht="15.75" thickBot="1" x14ac:dyDescent="0.3">
      <c r="A64" s="126"/>
      <c r="B64" s="50"/>
      <c r="C64" s="42" t="s">
        <v>105</v>
      </c>
      <c r="D64" s="42" t="s">
        <v>104</v>
      </c>
      <c r="E64" s="42" t="s">
        <v>106</v>
      </c>
      <c r="F64" s="42" t="s">
        <v>108</v>
      </c>
      <c r="G64" s="42" t="s">
        <v>107</v>
      </c>
      <c r="H64" s="42" t="s">
        <v>109</v>
      </c>
      <c r="I64" s="6" t="s">
        <v>110</v>
      </c>
      <c r="J64" s="131"/>
      <c r="K64" s="70"/>
    </row>
    <row r="65" spans="1:13" x14ac:dyDescent="0.25">
      <c r="A65" s="25" t="s">
        <v>87</v>
      </c>
      <c r="B65" s="26" t="s">
        <v>96</v>
      </c>
      <c r="C65" s="26" t="s">
        <v>97</v>
      </c>
      <c r="D65" s="26" t="s">
        <v>98</v>
      </c>
      <c r="E65" s="26" t="s">
        <v>99</v>
      </c>
      <c r="F65" s="26" t="s">
        <v>100</v>
      </c>
      <c r="G65" s="26" t="s">
        <v>101</v>
      </c>
      <c r="H65" s="26" t="s">
        <v>102</v>
      </c>
      <c r="I65" s="100" t="s">
        <v>103</v>
      </c>
      <c r="J65" s="103" t="s">
        <v>114</v>
      </c>
      <c r="K65" s="132"/>
    </row>
    <row r="66" spans="1:13" ht="15.75" thickBot="1" x14ac:dyDescent="0.3">
      <c r="A66" s="33" t="s">
        <v>5</v>
      </c>
      <c r="B66" s="21">
        <f>(38/63)</f>
        <v>0.60317460317460314</v>
      </c>
      <c r="C66" s="22">
        <f>(7/9)</f>
        <v>0.77777777777777779</v>
      </c>
      <c r="D66" s="22">
        <f>(7/10)</f>
        <v>0.7</v>
      </c>
      <c r="E66" s="22">
        <f>(11/18)</f>
        <v>0.61111111111111116</v>
      </c>
      <c r="F66" s="22">
        <f>(1/10)</f>
        <v>0.1</v>
      </c>
      <c r="G66" s="22">
        <v>0</v>
      </c>
      <c r="H66" s="45">
        <f>(7/7)</f>
        <v>1</v>
      </c>
      <c r="I66" s="98">
        <f>(3/5)</f>
        <v>0.6</v>
      </c>
      <c r="J66" s="104">
        <f>(B67+B68+B69+B70+B71+B72+B73+B74+B75+B76+B66)/11</f>
        <v>0.52500450937950938</v>
      </c>
      <c r="K66" s="61">
        <v>38</v>
      </c>
      <c r="L66" s="19" t="s">
        <v>137</v>
      </c>
      <c r="M66" s="19"/>
    </row>
    <row r="67" spans="1:13" x14ac:dyDescent="0.25">
      <c r="A67" s="33" t="s">
        <v>16</v>
      </c>
      <c r="B67" s="86">
        <f>(36/64)</f>
        <v>0.5625</v>
      </c>
      <c r="C67" s="22">
        <f>(2/9)</f>
        <v>0.22222222222222221</v>
      </c>
      <c r="D67" s="22">
        <f>(7/10)</f>
        <v>0.7</v>
      </c>
      <c r="E67" s="22">
        <f>(14/18)</f>
        <v>0.77777777777777779</v>
      </c>
      <c r="F67" s="22">
        <f>(2/10)</f>
        <v>0.2</v>
      </c>
      <c r="G67" s="22">
        <v>0</v>
      </c>
      <c r="H67" s="22">
        <f>(8/8)</f>
        <v>1</v>
      </c>
      <c r="I67" s="98">
        <f>(3/5)</f>
        <v>0.6</v>
      </c>
      <c r="J67" s="102"/>
      <c r="K67" s="114">
        <v>36</v>
      </c>
      <c r="L67" s="82"/>
    </row>
    <row r="68" spans="1:13" x14ac:dyDescent="0.25">
      <c r="A68" s="33" t="s">
        <v>6</v>
      </c>
      <c r="B68" s="21">
        <f>(32/64)</f>
        <v>0.5</v>
      </c>
      <c r="C68" s="22">
        <v>0</v>
      </c>
      <c r="D68" s="22">
        <f>(5/10)</f>
        <v>0.5</v>
      </c>
      <c r="E68" s="22">
        <f>(10/18)</f>
        <v>0.55555555555555558</v>
      </c>
      <c r="F68" s="22">
        <f>(7/10)</f>
        <v>0.7</v>
      </c>
      <c r="G68" s="22">
        <v>0</v>
      </c>
      <c r="H68" s="22">
        <f>(3/8)</f>
        <v>0.375</v>
      </c>
      <c r="I68" s="98">
        <f>(3/5)</f>
        <v>0.6</v>
      </c>
      <c r="J68" s="57"/>
      <c r="K68" s="114">
        <v>32</v>
      </c>
      <c r="L68" s="83"/>
    </row>
    <row r="69" spans="1:13" x14ac:dyDescent="0.25">
      <c r="A69" s="33" t="s">
        <v>138</v>
      </c>
      <c r="B69" s="21">
        <f>(39/64)</f>
        <v>0.609375</v>
      </c>
      <c r="C69" s="22">
        <f>(8/9)</f>
        <v>0.88888888888888884</v>
      </c>
      <c r="D69" s="22">
        <f>(6/10)</f>
        <v>0.6</v>
      </c>
      <c r="E69" s="22">
        <f>(11/18)</f>
        <v>0.61111111111111116</v>
      </c>
      <c r="F69" s="22">
        <f>(3/10)</f>
        <v>0.3</v>
      </c>
      <c r="G69" s="22">
        <v>0</v>
      </c>
      <c r="H69" s="22">
        <f>(7/8)</f>
        <v>0.875</v>
      </c>
      <c r="I69" s="98">
        <f>(4/5)</f>
        <v>0.8</v>
      </c>
      <c r="J69" s="57"/>
      <c r="K69" s="114">
        <v>39</v>
      </c>
      <c r="L69" s="82"/>
    </row>
    <row r="70" spans="1:13" x14ac:dyDescent="0.25">
      <c r="A70" s="33" t="s">
        <v>14</v>
      </c>
      <c r="B70" s="21">
        <f>(41/64)</f>
        <v>0.640625</v>
      </c>
      <c r="C70" s="22">
        <f>(4/9)</f>
        <v>0.44444444444444442</v>
      </c>
      <c r="D70" s="22">
        <f>(8/10)</f>
        <v>0.8</v>
      </c>
      <c r="E70" s="22">
        <f>(12/18)</f>
        <v>0.66666666666666663</v>
      </c>
      <c r="F70" s="22">
        <f>(4/10)</f>
        <v>0.4</v>
      </c>
      <c r="G70" s="22">
        <v>0</v>
      </c>
      <c r="H70" s="22">
        <f>(8/8)</f>
        <v>1</v>
      </c>
      <c r="I70" s="98">
        <f>(5/5)</f>
        <v>1</v>
      </c>
      <c r="J70" s="57"/>
      <c r="K70" s="114">
        <v>41</v>
      </c>
      <c r="L70" s="82"/>
    </row>
    <row r="71" spans="1:13" x14ac:dyDescent="0.25">
      <c r="A71" s="34" t="s">
        <v>13</v>
      </c>
      <c r="B71" s="85">
        <f>(26/64)</f>
        <v>0.40625</v>
      </c>
      <c r="C71" s="22">
        <f>(3/9)</f>
        <v>0.33333333333333331</v>
      </c>
      <c r="D71" s="22">
        <f>(8/10)</f>
        <v>0.8</v>
      </c>
      <c r="E71" s="22">
        <f>(1/18)</f>
        <v>5.5555555555555552E-2</v>
      </c>
      <c r="F71" s="22">
        <f>(2/10)</f>
        <v>0.2</v>
      </c>
      <c r="G71" s="22">
        <v>0</v>
      </c>
      <c r="H71" s="22">
        <f>(8/8)</f>
        <v>1</v>
      </c>
      <c r="I71" s="98">
        <f>(4/5)</f>
        <v>0.8</v>
      </c>
      <c r="J71" s="57"/>
      <c r="K71" s="114">
        <v>26</v>
      </c>
      <c r="L71" s="83"/>
    </row>
    <row r="72" spans="1:13" x14ac:dyDescent="0.25">
      <c r="A72" s="33" t="s">
        <v>19</v>
      </c>
      <c r="B72" s="21">
        <f>(33/64)</f>
        <v>0.515625</v>
      </c>
      <c r="C72" s="22">
        <f>(1/9)</f>
        <v>0.1111111111111111</v>
      </c>
      <c r="D72" s="22">
        <v>0.8</v>
      </c>
      <c r="E72" s="22">
        <f>(11/18)</f>
        <v>0.61111111111111116</v>
      </c>
      <c r="F72" s="22">
        <f>(2/10)</f>
        <v>0.2</v>
      </c>
      <c r="G72" s="22">
        <v>0</v>
      </c>
      <c r="H72" s="22">
        <f>(8/8)</f>
        <v>1</v>
      </c>
      <c r="I72" s="98">
        <f>(3/5)</f>
        <v>0.6</v>
      </c>
      <c r="J72" s="57"/>
      <c r="K72" s="114">
        <v>33</v>
      </c>
      <c r="L72" s="82"/>
    </row>
    <row r="73" spans="1:13" x14ac:dyDescent="0.25">
      <c r="A73" s="33" t="s">
        <v>15</v>
      </c>
      <c r="B73" s="86">
        <f>(32/64)</f>
        <v>0.5</v>
      </c>
      <c r="C73" s="22">
        <f>(2/9)</f>
        <v>0.22222222222222221</v>
      </c>
      <c r="D73" s="22">
        <f>(9/10)</f>
        <v>0.9</v>
      </c>
      <c r="E73" s="22">
        <f>(12/18)</f>
        <v>0.66666666666666663</v>
      </c>
      <c r="F73" s="22">
        <f>(3/10)</f>
        <v>0.3</v>
      </c>
      <c r="G73" s="22">
        <v>0</v>
      </c>
      <c r="H73" s="22">
        <f>(2/8)</f>
        <v>0.25</v>
      </c>
      <c r="I73" s="98">
        <f>(4/5)</f>
        <v>0.8</v>
      </c>
      <c r="J73" s="57"/>
      <c r="K73" s="114">
        <v>32</v>
      </c>
      <c r="L73" s="82"/>
    </row>
    <row r="74" spans="1:13" x14ac:dyDescent="0.25">
      <c r="A74" s="33" t="s">
        <v>18</v>
      </c>
      <c r="B74" s="21">
        <f>(35/64)</f>
        <v>0.546875</v>
      </c>
      <c r="C74" s="22">
        <f>(1/9)</f>
        <v>0.1111111111111111</v>
      </c>
      <c r="D74" s="22">
        <f>(9/10)</f>
        <v>0.9</v>
      </c>
      <c r="E74" s="22">
        <f>(12/18)</f>
        <v>0.66666666666666663</v>
      </c>
      <c r="F74" s="22">
        <f>(2/10)</f>
        <v>0.2</v>
      </c>
      <c r="G74" s="22">
        <v>0</v>
      </c>
      <c r="H74" s="22">
        <f>(8/8)</f>
        <v>1</v>
      </c>
      <c r="I74" s="98">
        <f>(3/5)</f>
        <v>0.6</v>
      </c>
      <c r="J74" s="57"/>
      <c r="K74" s="114">
        <v>35</v>
      </c>
      <c r="L74" s="82"/>
    </row>
    <row r="75" spans="1:13" x14ac:dyDescent="0.25">
      <c r="A75" s="34" t="s">
        <v>17</v>
      </c>
      <c r="B75" s="11">
        <f>(25/64)</f>
        <v>0.390625</v>
      </c>
      <c r="C75" s="22">
        <f>(1/9)</f>
        <v>0.1111111111111111</v>
      </c>
      <c r="D75" s="22">
        <f>(9/10)</f>
        <v>0.9</v>
      </c>
      <c r="E75" s="22">
        <v>0</v>
      </c>
      <c r="F75" s="22">
        <f>(3/10)</f>
        <v>0.3</v>
      </c>
      <c r="G75" s="22">
        <v>0</v>
      </c>
      <c r="H75" s="22">
        <f>(8/8)</f>
        <v>1</v>
      </c>
      <c r="I75" s="98">
        <f>(3/10)</f>
        <v>0.3</v>
      </c>
      <c r="J75" s="57"/>
      <c r="K75" s="114">
        <v>25</v>
      </c>
      <c r="L75" s="83"/>
    </row>
    <row r="76" spans="1:13" ht="15.75" thickBot="1" x14ac:dyDescent="0.3">
      <c r="A76" s="40" t="s">
        <v>20</v>
      </c>
      <c r="B76" s="37">
        <f>(32/64)</f>
        <v>0.5</v>
      </c>
      <c r="C76" s="31">
        <v>0</v>
      </c>
      <c r="D76" s="31">
        <f>(8/10)</f>
        <v>0.8</v>
      </c>
      <c r="E76" s="31">
        <f>(11/18)</f>
        <v>0.61111111111111116</v>
      </c>
      <c r="F76" s="31">
        <f>(3/10)</f>
        <v>0.3</v>
      </c>
      <c r="G76" s="31">
        <v>0</v>
      </c>
      <c r="H76" s="31">
        <f>(8/8)</f>
        <v>1</v>
      </c>
      <c r="I76" s="99">
        <f>(2/10)</f>
        <v>0.2</v>
      </c>
      <c r="J76" s="115"/>
      <c r="K76" s="116">
        <v>32</v>
      </c>
      <c r="L76" s="82"/>
    </row>
    <row r="77" spans="1:13" ht="15.75" thickBot="1" x14ac:dyDescent="0.3">
      <c r="A77" s="2"/>
    </row>
    <row r="78" spans="1:13" x14ac:dyDescent="0.25">
      <c r="A78" s="74" t="s">
        <v>88</v>
      </c>
      <c r="B78" s="8" t="s">
        <v>96</v>
      </c>
      <c r="C78" s="8" t="s">
        <v>97</v>
      </c>
      <c r="D78" s="8" t="s">
        <v>98</v>
      </c>
      <c r="E78" s="8" t="s">
        <v>99</v>
      </c>
      <c r="F78" s="8" t="s">
        <v>100</v>
      </c>
      <c r="G78" s="8" t="s">
        <v>101</v>
      </c>
      <c r="H78" s="8" t="s">
        <v>102</v>
      </c>
      <c r="I78" s="55" t="s">
        <v>103</v>
      </c>
      <c r="J78" s="103" t="s">
        <v>114</v>
      </c>
      <c r="K78" s="138"/>
    </row>
    <row r="79" spans="1:13" ht="15.75" thickBot="1" x14ac:dyDescent="0.3">
      <c r="A79" s="10" t="s">
        <v>72</v>
      </c>
      <c r="B79" s="59">
        <f>(19/63)</f>
        <v>0.30158730158730157</v>
      </c>
      <c r="C79" s="22">
        <f>(2/9)</f>
        <v>0.22222222222222221</v>
      </c>
      <c r="D79" s="22">
        <f>(9/10)</f>
        <v>0.9</v>
      </c>
      <c r="E79" s="22">
        <f>(5/18)</f>
        <v>0.27777777777777779</v>
      </c>
      <c r="F79" s="22">
        <f>(1/10)</f>
        <v>0.1</v>
      </c>
      <c r="G79" s="22">
        <v>0</v>
      </c>
      <c r="H79" s="45">
        <f>(1/7)</f>
        <v>0.14285714285714285</v>
      </c>
      <c r="I79" s="98">
        <f>(1/5)</f>
        <v>0.2</v>
      </c>
      <c r="J79" s="104">
        <f>(B79+B80+B81+B82)/4</f>
        <v>0.25508432539682541</v>
      </c>
      <c r="K79" s="139">
        <v>19</v>
      </c>
      <c r="L79" s="19" t="s">
        <v>137</v>
      </c>
      <c r="M79" s="19"/>
    </row>
    <row r="80" spans="1:13" x14ac:dyDescent="0.25">
      <c r="A80" s="10" t="s">
        <v>62</v>
      </c>
      <c r="B80" s="59">
        <f>(23/64)</f>
        <v>0.359375</v>
      </c>
      <c r="C80" s="22">
        <f>(2/9)</f>
        <v>0.22222222222222221</v>
      </c>
      <c r="D80" s="22">
        <f>(4/10)</f>
        <v>0.4</v>
      </c>
      <c r="E80" s="22">
        <f>(1/18)</f>
        <v>5.5555555555555552E-2</v>
      </c>
      <c r="F80" s="22">
        <f>(8/10)</f>
        <v>0.8</v>
      </c>
      <c r="G80" s="22">
        <v>0</v>
      </c>
      <c r="H80" s="22">
        <f>(4/8)</f>
        <v>0.5</v>
      </c>
      <c r="I80" s="22">
        <f>(4/5)</f>
        <v>0.8</v>
      </c>
      <c r="J80" s="102"/>
      <c r="K80" s="58">
        <v>23</v>
      </c>
      <c r="L80" s="83"/>
    </row>
    <row r="81" spans="1:12" x14ac:dyDescent="0.25">
      <c r="A81" s="134" t="s">
        <v>132</v>
      </c>
      <c r="B81" s="59">
        <f>(9/64)</f>
        <v>0.140625</v>
      </c>
      <c r="C81" s="22">
        <f>(2/9)</f>
        <v>0.22222222222222221</v>
      </c>
      <c r="D81" s="46">
        <f>(6/10)</f>
        <v>0.6</v>
      </c>
      <c r="E81" s="22">
        <v>0</v>
      </c>
      <c r="F81" s="22">
        <v>0</v>
      </c>
      <c r="G81" s="22">
        <v>0</v>
      </c>
      <c r="H81" s="22">
        <f>(1/8)</f>
        <v>0.125</v>
      </c>
      <c r="I81" s="22">
        <v>0</v>
      </c>
      <c r="J81" s="57"/>
      <c r="K81" s="135">
        <v>9</v>
      </c>
      <c r="L81" s="83"/>
    </row>
    <row r="82" spans="1:12" x14ac:dyDescent="0.25">
      <c r="A82" s="134" t="s">
        <v>123</v>
      </c>
      <c r="B82" s="59">
        <f>(14/64)</f>
        <v>0.21875</v>
      </c>
      <c r="C82" s="22">
        <f>(1/9)</f>
        <v>0.1111111111111111</v>
      </c>
      <c r="D82" s="22">
        <f>(6/10)</f>
        <v>0.6</v>
      </c>
      <c r="E82" s="22">
        <v>0</v>
      </c>
      <c r="F82" s="22">
        <f>(5/10)</f>
        <v>0.5</v>
      </c>
      <c r="G82" s="22">
        <v>0</v>
      </c>
      <c r="H82" s="22">
        <v>0</v>
      </c>
      <c r="I82" s="22">
        <f>(2/5)</f>
        <v>0.4</v>
      </c>
      <c r="J82" s="57"/>
      <c r="K82" s="58">
        <v>14</v>
      </c>
      <c r="L82" s="83"/>
    </row>
    <row r="83" spans="1:12" ht="15.75" thickBot="1" x14ac:dyDescent="0.3">
      <c r="A83" s="2"/>
    </row>
    <row r="84" spans="1:12" x14ac:dyDescent="0.25">
      <c r="A84" s="76" t="s">
        <v>89</v>
      </c>
      <c r="B84" s="26" t="s">
        <v>96</v>
      </c>
      <c r="C84" s="26" t="s">
        <v>97</v>
      </c>
      <c r="D84" s="26" t="s">
        <v>98</v>
      </c>
      <c r="E84" s="26" t="s">
        <v>99</v>
      </c>
      <c r="F84" s="26" t="s">
        <v>100</v>
      </c>
      <c r="G84" s="26" t="s">
        <v>101</v>
      </c>
      <c r="H84" s="26" t="s">
        <v>102</v>
      </c>
      <c r="I84" s="100" t="s">
        <v>103</v>
      </c>
      <c r="J84" s="103" t="s">
        <v>114</v>
      </c>
      <c r="K84" s="121"/>
    </row>
    <row r="85" spans="1:12" ht="15.75" thickBot="1" x14ac:dyDescent="0.3">
      <c r="A85" s="33" t="s">
        <v>47</v>
      </c>
      <c r="B85" s="59">
        <f>(29/64)</f>
        <v>0.453125</v>
      </c>
      <c r="C85" s="22">
        <f>(3/9)</f>
        <v>0.33333333333333331</v>
      </c>
      <c r="D85" s="22">
        <f>(10/10)</f>
        <v>1</v>
      </c>
      <c r="E85" s="22">
        <v>0</v>
      </c>
      <c r="F85" s="22">
        <f>(4/10)</f>
        <v>0.4</v>
      </c>
      <c r="G85" s="22">
        <v>0</v>
      </c>
      <c r="H85" s="22">
        <f>(8/8)</f>
        <v>1</v>
      </c>
      <c r="I85" s="98">
        <f>(4/5)</f>
        <v>0.8</v>
      </c>
      <c r="J85" s="104">
        <f>(B85+B86+B87+B88+B89+B90)/6</f>
        <v>0.34895833333333331</v>
      </c>
      <c r="K85" s="61">
        <v>29</v>
      </c>
      <c r="L85" s="83"/>
    </row>
    <row r="86" spans="1:12" x14ac:dyDescent="0.25">
      <c r="A86" s="33" t="s">
        <v>70</v>
      </c>
      <c r="B86" s="39">
        <f>(36/64)</f>
        <v>0.5625</v>
      </c>
      <c r="C86" s="22">
        <f>(3/9)</f>
        <v>0.33333333333333331</v>
      </c>
      <c r="D86" s="22">
        <f>7/10</f>
        <v>0.7</v>
      </c>
      <c r="E86" s="22">
        <f>(9/18)</f>
        <v>0.5</v>
      </c>
      <c r="F86" s="22">
        <f>(8/10)</f>
        <v>0.8</v>
      </c>
      <c r="G86" s="22">
        <f>(2/4)</f>
        <v>0.5</v>
      </c>
      <c r="H86" s="22">
        <f>(2/8)</f>
        <v>0.25</v>
      </c>
      <c r="I86" s="22">
        <f>(5/5)</f>
        <v>1</v>
      </c>
      <c r="J86" s="102"/>
      <c r="K86" s="114">
        <v>36</v>
      </c>
      <c r="L86" s="82"/>
    </row>
    <row r="87" spans="1:12" x14ac:dyDescent="0.25">
      <c r="A87" s="48" t="s">
        <v>90</v>
      </c>
      <c r="B87" s="59">
        <f>(12/64)</f>
        <v>0.1875</v>
      </c>
      <c r="C87" s="22">
        <f>(2/9)</f>
        <v>0.22222222222222221</v>
      </c>
      <c r="D87" s="22">
        <f>(5/10)</f>
        <v>0.5</v>
      </c>
      <c r="E87" s="22">
        <v>0</v>
      </c>
      <c r="F87" s="22">
        <f>(2/10)</f>
        <v>0.2</v>
      </c>
      <c r="G87" s="22">
        <v>0</v>
      </c>
      <c r="H87" s="22">
        <f>(2/8)</f>
        <v>0.25</v>
      </c>
      <c r="I87" s="22">
        <f>(1/5)</f>
        <v>0.2</v>
      </c>
      <c r="J87" s="57"/>
      <c r="K87" s="114">
        <v>12</v>
      </c>
      <c r="L87" s="83"/>
    </row>
    <row r="88" spans="1:12" x14ac:dyDescent="0.25">
      <c r="A88" s="34" t="s">
        <v>32</v>
      </c>
      <c r="B88" s="59">
        <f>(18/64)</f>
        <v>0.28125</v>
      </c>
      <c r="C88" s="22">
        <f>(4/9)</f>
        <v>0.44444444444444442</v>
      </c>
      <c r="D88" s="22">
        <f>(8/10)</f>
        <v>0.8</v>
      </c>
      <c r="E88" s="22">
        <f>(2/18)</f>
        <v>0.1111111111111111</v>
      </c>
      <c r="F88" s="22">
        <f>(1/10)</f>
        <v>0.1</v>
      </c>
      <c r="G88" s="22">
        <v>0</v>
      </c>
      <c r="H88" s="22">
        <f>(2/8)</f>
        <v>0.25</v>
      </c>
      <c r="I88" s="22">
        <f>(1/5)</f>
        <v>0.2</v>
      </c>
      <c r="J88" s="57"/>
      <c r="K88" s="114">
        <v>18</v>
      </c>
      <c r="L88" s="83"/>
    </row>
    <row r="89" spans="1:12" x14ac:dyDescent="0.25">
      <c r="A89" s="48" t="s">
        <v>33</v>
      </c>
      <c r="B89" s="59">
        <f>(21/64)</f>
        <v>0.328125</v>
      </c>
      <c r="C89" s="22">
        <f>(3/9)</f>
        <v>0.33333333333333331</v>
      </c>
      <c r="D89" s="22">
        <f>(2/10)</f>
        <v>0.2</v>
      </c>
      <c r="E89" s="22">
        <f>(5/18)</f>
        <v>0.27777777777777779</v>
      </c>
      <c r="F89" s="22">
        <f>(7/10)</f>
        <v>0.7</v>
      </c>
      <c r="G89" s="22">
        <v>0</v>
      </c>
      <c r="H89" s="22">
        <v>0</v>
      </c>
      <c r="I89" s="22">
        <f>(4/5)</f>
        <v>0.8</v>
      </c>
      <c r="J89" s="57"/>
      <c r="K89" s="114">
        <v>21</v>
      </c>
      <c r="L89" s="83"/>
    </row>
    <row r="90" spans="1:12" ht="15.75" thickBot="1" x14ac:dyDescent="0.3">
      <c r="A90" s="35" t="s">
        <v>34</v>
      </c>
      <c r="B90" s="84">
        <f>(18/64)</f>
        <v>0.28125</v>
      </c>
      <c r="C90" s="31">
        <f>(2/9)</f>
        <v>0.22222222222222221</v>
      </c>
      <c r="D90" s="31">
        <f>(7/10)</f>
        <v>0.7</v>
      </c>
      <c r="E90" s="31">
        <v>0</v>
      </c>
      <c r="F90" s="31">
        <f>(1/10)</f>
        <v>0.1</v>
      </c>
      <c r="G90" s="31">
        <v>0</v>
      </c>
      <c r="H90" s="31">
        <f>(8/8)</f>
        <v>1</v>
      </c>
      <c r="I90" s="31">
        <v>0</v>
      </c>
      <c r="J90" s="115"/>
      <c r="K90" s="116">
        <v>18</v>
      </c>
      <c r="L90" s="83"/>
    </row>
    <row r="91" spans="1:12" ht="15.75" thickBot="1" x14ac:dyDescent="0.3">
      <c r="A91" s="108"/>
      <c r="B91" s="50"/>
      <c r="C91" s="42" t="s">
        <v>105</v>
      </c>
      <c r="D91" s="42" t="s">
        <v>104</v>
      </c>
      <c r="E91" s="42" t="s">
        <v>106</v>
      </c>
      <c r="F91" s="42" t="s">
        <v>108</v>
      </c>
      <c r="G91" s="42" t="s">
        <v>107</v>
      </c>
      <c r="H91" s="42" t="s">
        <v>109</v>
      </c>
      <c r="I91" s="43" t="s">
        <v>110</v>
      </c>
    </row>
    <row r="92" spans="1:12" x14ac:dyDescent="0.25">
      <c r="A92" s="76" t="s">
        <v>1</v>
      </c>
      <c r="B92" s="26" t="s">
        <v>96</v>
      </c>
      <c r="C92" s="26" t="s">
        <v>97</v>
      </c>
      <c r="D92" s="26" t="s">
        <v>98</v>
      </c>
      <c r="E92" s="26" t="s">
        <v>99</v>
      </c>
      <c r="F92" s="26" t="s">
        <v>100</v>
      </c>
      <c r="G92" s="26" t="s">
        <v>101</v>
      </c>
      <c r="H92" s="26" t="s">
        <v>102</v>
      </c>
      <c r="I92" s="100" t="s">
        <v>103</v>
      </c>
      <c r="J92" s="103" t="s">
        <v>114</v>
      </c>
      <c r="K92" s="121"/>
    </row>
    <row r="93" spans="1:12" ht="15.75" thickBot="1" x14ac:dyDescent="0.3">
      <c r="A93" s="33" t="s">
        <v>1</v>
      </c>
      <c r="B93" s="39">
        <f>(47/64)</f>
        <v>0.734375</v>
      </c>
      <c r="C93" s="141">
        <f>(3/9)</f>
        <v>0.33333333333333331</v>
      </c>
      <c r="D93" s="141">
        <f>(9/10)</f>
        <v>0.9</v>
      </c>
      <c r="E93" s="141">
        <f>(10/18)</f>
        <v>0.55555555555555558</v>
      </c>
      <c r="F93" s="141">
        <f>(10/10)</f>
        <v>1</v>
      </c>
      <c r="G93" s="141">
        <f>(4/4)</f>
        <v>1</v>
      </c>
      <c r="H93" s="141">
        <f>(8/8)</f>
        <v>1</v>
      </c>
      <c r="I93" s="148">
        <f>(3/5)</f>
        <v>0.6</v>
      </c>
      <c r="J93" s="104">
        <f>(B93+B94+B95+B96+B97+B98+B99+B100+B101+B102)/10</f>
        <v>0.43221726190476195</v>
      </c>
      <c r="K93" s="137">
        <v>47</v>
      </c>
      <c r="L93" s="82"/>
    </row>
    <row r="94" spans="1:12" x14ac:dyDescent="0.25">
      <c r="A94" s="34" t="s">
        <v>7</v>
      </c>
      <c r="B94" s="59">
        <f>(22/63)</f>
        <v>0.34920634920634919</v>
      </c>
      <c r="C94" s="14">
        <f>(3/9)</f>
        <v>0.33333333333333331</v>
      </c>
      <c r="D94" s="15">
        <f>(8/10)</f>
        <v>0.8</v>
      </c>
      <c r="E94" s="14">
        <v>0</v>
      </c>
      <c r="F94" s="16">
        <f>(2/10)</f>
        <v>0.2</v>
      </c>
      <c r="G94" s="14">
        <v>0</v>
      </c>
      <c r="H94" s="140">
        <f>(7/7)</f>
        <v>1</v>
      </c>
      <c r="I94" s="16">
        <f>(2/5)</f>
        <v>0.4</v>
      </c>
      <c r="J94" s="102"/>
      <c r="K94" s="145">
        <v>22</v>
      </c>
      <c r="L94" s="19" t="s">
        <v>137</v>
      </c>
    </row>
    <row r="95" spans="1:12" x14ac:dyDescent="0.25">
      <c r="A95" s="34" t="s">
        <v>3</v>
      </c>
      <c r="B95" s="59">
        <f>(14/64)</f>
        <v>0.21875</v>
      </c>
      <c r="C95" s="16">
        <f>1/9</f>
        <v>0.1111111111111111</v>
      </c>
      <c r="D95" s="16">
        <f>(6/10)</f>
        <v>0.6</v>
      </c>
      <c r="E95" s="14">
        <v>0</v>
      </c>
      <c r="F95" s="16">
        <f>(1/10)</f>
        <v>0.1</v>
      </c>
      <c r="G95" s="14">
        <v>0</v>
      </c>
      <c r="H95" s="16">
        <f>(4/8)</f>
        <v>0.5</v>
      </c>
      <c r="I95" s="14">
        <f>(2/5)</f>
        <v>0.4</v>
      </c>
      <c r="J95" s="57"/>
      <c r="K95" s="145">
        <v>14</v>
      </c>
      <c r="L95" s="83"/>
    </row>
    <row r="96" spans="1:12" x14ac:dyDescent="0.25">
      <c r="A96" s="33" t="s">
        <v>8</v>
      </c>
      <c r="B96" s="39">
        <f>(45/64)</f>
        <v>0.703125</v>
      </c>
      <c r="C96" s="14">
        <f>5/9</f>
        <v>0.55555555555555558</v>
      </c>
      <c r="D96" s="14">
        <f>(9/10)</f>
        <v>0.9</v>
      </c>
      <c r="E96" s="17">
        <f>(12/18)</f>
        <v>0.66666666666666663</v>
      </c>
      <c r="F96" s="14">
        <f>(7/10)</f>
        <v>0.7</v>
      </c>
      <c r="G96" s="14">
        <v>0</v>
      </c>
      <c r="H96" s="16">
        <f>(7/8)</f>
        <v>0.875</v>
      </c>
      <c r="I96" s="14">
        <v>1</v>
      </c>
      <c r="J96" s="57"/>
      <c r="K96" s="145">
        <v>45</v>
      </c>
      <c r="L96" s="82"/>
    </row>
    <row r="97" spans="1:13" x14ac:dyDescent="0.25">
      <c r="A97" s="33" t="s">
        <v>11</v>
      </c>
      <c r="B97" s="39">
        <f>(36/64)</f>
        <v>0.5625</v>
      </c>
      <c r="C97" s="16">
        <f>(6/9)</f>
        <v>0.66666666666666663</v>
      </c>
      <c r="D97" s="14">
        <f>(9/10)</f>
        <v>0.9</v>
      </c>
      <c r="E97" s="15">
        <f>(2/18)</f>
        <v>0.1111111111111111</v>
      </c>
      <c r="F97" s="14">
        <f>(8/10)</f>
        <v>0.8</v>
      </c>
      <c r="G97" s="14">
        <v>0</v>
      </c>
      <c r="H97" s="16">
        <f>(7/8)</f>
        <v>0.875</v>
      </c>
      <c r="I97" s="14">
        <f>(4/5)</f>
        <v>0.8</v>
      </c>
      <c r="J97" s="57"/>
      <c r="K97" s="145">
        <v>36</v>
      </c>
      <c r="L97" s="82"/>
    </row>
    <row r="98" spans="1:13" x14ac:dyDescent="0.25">
      <c r="A98" s="34" t="s">
        <v>9</v>
      </c>
      <c r="B98" s="59">
        <f>(23/63)</f>
        <v>0.36507936507936506</v>
      </c>
      <c r="C98" s="14">
        <f>(1/9)</f>
        <v>0.1111111111111111</v>
      </c>
      <c r="D98" s="14">
        <f>(9/10)</f>
        <v>0.9</v>
      </c>
      <c r="E98" s="16">
        <f>(2/18)</f>
        <v>0.1111111111111111</v>
      </c>
      <c r="F98" s="14">
        <f>(1/10)</f>
        <v>0.1</v>
      </c>
      <c r="G98" s="14">
        <v>0</v>
      </c>
      <c r="H98" s="18">
        <f>(6/7)</f>
        <v>0.8571428571428571</v>
      </c>
      <c r="I98" s="14">
        <f>(4/5)</f>
        <v>0.8</v>
      </c>
      <c r="J98" s="142"/>
      <c r="K98" s="145">
        <v>23</v>
      </c>
      <c r="L98" s="19" t="s">
        <v>111</v>
      </c>
    </row>
    <row r="99" spans="1:13" x14ac:dyDescent="0.25">
      <c r="A99" s="34" t="s">
        <v>91</v>
      </c>
      <c r="B99" s="59">
        <f>(13/63)</f>
        <v>0.20634920634920634</v>
      </c>
      <c r="C99" s="14">
        <f>(1/9)</f>
        <v>0.1111111111111111</v>
      </c>
      <c r="D99" s="14">
        <f>(7/10)</f>
        <v>0.7</v>
      </c>
      <c r="E99" s="14">
        <v>0</v>
      </c>
      <c r="F99" s="14">
        <f>(1/10)</f>
        <v>0.1</v>
      </c>
      <c r="G99" s="14">
        <v>0</v>
      </c>
      <c r="H99" s="18">
        <v>0</v>
      </c>
      <c r="I99" s="14">
        <f>(4/5)</f>
        <v>0.8</v>
      </c>
      <c r="J99" s="142"/>
      <c r="K99" s="145">
        <v>13</v>
      </c>
      <c r="L99" s="19" t="s">
        <v>111</v>
      </c>
    </row>
    <row r="100" spans="1:13" x14ac:dyDescent="0.25">
      <c r="A100" s="34" t="s">
        <v>12</v>
      </c>
      <c r="B100" s="59">
        <f>(16/63)</f>
        <v>0.25396825396825395</v>
      </c>
      <c r="C100" s="14">
        <f>(1/9)</f>
        <v>0.1111111111111111</v>
      </c>
      <c r="D100" s="14">
        <f>(9/10)</f>
        <v>0.9</v>
      </c>
      <c r="E100" s="14">
        <f>(1/18)</f>
        <v>5.5555555555555552E-2</v>
      </c>
      <c r="F100" s="14">
        <f>(2/10)</f>
        <v>0.2</v>
      </c>
      <c r="G100" s="14">
        <v>0</v>
      </c>
      <c r="H100" s="20">
        <f>(2/7)</f>
        <v>0.2857142857142857</v>
      </c>
      <c r="I100" s="14">
        <f>(1/5)</f>
        <v>0.2</v>
      </c>
      <c r="J100" s="142"/>
      <c r="K100" s="145">
        <v>16</v>
      </c>
      <c r="L100" s="19" t="s">
        <v>111</v>
      </c>
    </row>
    <row r="101" spans="1:13" x14ac:dyDescent="0.25">
      <c r="A101" s="34" t="s">
        <v>10</v>
      </c>
      <c r="B101" s="59">
        <f>(28/63)</f>
        <v>0.44444444444444442</v>
      </c>
      <c r="C101" s="14">
        <f>(2/10)</f>
        <v>0.2</v>
      </c>
      <c r="D101" s="14">
        <f>(10/10)</f>
        <v>1</v>
      </c>
      <c r="E101" s="14">
        <f>(6/18)</f>
        <v>0.33333333333333331</v>
      </c>
      <c r="F101" s="14">
        <f>(1/10)</f>
        <v>0.1</v>
      </c>
      <c r="G101" s="14">
        <v>0</v>
      </c>
      <c r="H101" s="20">
        <f>(6/7)</f>
        <v>0.8571428571428571</v>
      </c>
      <c r="I101" s="14">
        <f>(3/5)</f>
        <v>0.6</v>
      </c>
      <c r="J101" s="142"/>
      <c r="K101" s="145">
        <v>28</v>
      </c>
      <c r="L101" s="19" t="s">
        <v>111</v>
      </c>
    </row>
    <row r="102" spans="1:13" ht="15.75" thickBot="1" x14ac:dyDescent="0.3">
      <c r="A102" s="77" t="s">
        <v>4</v>
      </c>
      <c r="B102" s="146">
        <f>(31/64)</f>
        <v>0.484375</v>
      </c>
      <c r="C102" s="36">
        <f>(1/10)</f>
        <v>0.1</v>
      </c>
      <c r="D102" s="36">
        <f>9/10</f>
        <v>0.9</v>
      </c>
      <c r="E102" s="36">
        <f>(12/18)</f>
        <v>0.66666666666666663</v>
      </c>
      <c r="F102" s="36">
        <f>(3/10)</f>
        <v>0.3</v>
      </c>
      <c r="G102" s="36">
        <v>0</v>
      </c>
      <c r="H102" s="36">
        <f>(3/8)</f>
        <v>0.375</v>
      </c>
      <c r="I102" s="36">
        <f>(3/5)</f>
        <v>0.6</v>
      </c>
      <c r="J102" s="115"/>
      <c r="K102" s="147">
        <v>31</v>
      </c>
      <c r="L102" s="82"/>
    </row>
    <row r="103" spans="1:13" ht="15.75" thickBot="1" x14ac:dyDescent="0.3">
      <c r="A103" s="1"/>
    </row>
    <row r="104" spans="1:13" x14ac:dyDescent="0.25">
      <c r="A104" s="76" t="s">
        <v>45</v>
      </c>
      <c r="B104" s="26" t="s">
        <v>96</v>
      </c>
      <c r="C104" s="26" t="s">
        <v>97</v>
      </c>
      <c r="D104" s="26" t="s">
        <v>98</v>
      </c>
      <c r="E104" s="26" t="s">
        <v>99</v>
      </c>
      <c r="F104" s="26" t="s">
        <v>100</v>
      </c>
      <c r="G104" s="26" t="s">
        <v>101</v>
      </c>
      <c r="H104" s="26" t="s">
        <v>102</v>
      </c>
      <c r="I104" s="100" t="s">
        <v>103</v>
      </c>
      <c r="J104" s="103" t="s">
        <v>114</v>
      </c>
      <c r="K104" s="121"/>
    </row>
    <row r="105" spans="1:13" ht="15.75" thickBot="1" x14ac:dyDescent="0.3">
      <c r="A105" s="28" t="s">
        <v>45</v>
      </c>
      <c r="B105" s="59">
        <f>(30/64)</f>
        <v>0.46875</v>
      </c>
      <c r="C105" s="22">
        <f>(4/9)</f>
        <v>0.44444444444444442</v>
      </c>
      <c r="D105" s="22">
        <f>(9/10)</f>
        <v>0.9</v>
      </c>
      <c r="E105" s="22">
        <f>(5/18)</f>
        <v>0.27777777777777779</v>
      </c>
      <c r="F105" s="22">
        <f>(1/10)</f>
        <v>0.1</v>
      </c>
      <c r="G105" s="22">
        <v>0</v>
      </c>
      <c r="H105" s="22">
        <f>(7/8)</f>
        <v>0.875</v>
      </c>
      <c r="I105" s="149">
        <f>(4/5)</f>
        <v>0.8</v>
      </c>
      <c r="J105" s="153">
        <f>(B105+B106+B107+B108)/4</f>
        <v>0.43973214285714285</v>
      </c>
      <c r="K105" s="61">
        <v>30</v>
      </c>
      <c r="L105" s="83"/>
    </row>
    <row r="106" spans="1:13" x14ac:dyDescent="0.25">
      <c r="A106" s="28" t="s">
        <v>49</v>
      </c>
      <c r="B106" s="59">
        <f>(23/64)</f>
        <v>0.359375</v>
      </c>
      <c r="C106" s="22">
        <f>(2/9)</f>
        <v>0.22222222222222221</v>
      </c>
      <c r="D106" s="22">
        <f>(6/10)</f>
        <v>0.6</v>
      </c>
      <c r="E106" s="22">
        <f>(2/18)</f>
        <v>0.1111111111111111</v>
      </c>
      <c r="F106" s="22">
        <f>(3/10)</f>
        <v>0.3</v>
      </c>
      <c r="G106" s="22">
        <v>0</v>
      </c>
      <c r="H106" s="22">
        <f>(8/8)</f>
        <v>1</v>
      </c>
      <c r="I106" s="22">
        <f>(2/5)</f>
        <v>0.4</v>
      </c>
      <c r="J106" s="102"/>
      <c r="K106" s="114">
        <v>23</v>
      </c>
      <c r="L106" s="83"/>
    </row>
    <row r="107" spans="1:13" x14ac:dyDescent="0.25">
      <c r="A107" s="93" t="s">
        <v>124</v>
      </c>
      <c r="B107" s="59">
        <f>(43/112)</f>
        <v>0.38392857142857145</v>
      </c>
      <c r="C107" s="22">
        <f>(4/9)</f>
        <v>0.44444444444444442</v>
      </c>
      <c r="D107" s="22">
        <f>(7/10)</f>
        <v>0.7</v>
      </c>
      <c r="E107" s="22">
        <f>(4/18)</f>
        <v>0.22222222222222221</v>
      </c>
      <c r="F107" s="22">
        <f>(3/10)</f>
        <v>0.3</v>
      </c>
      <c r="G107" s="22">
        <f>(1/4)</f>
        <v>0.25</v>
      </c>
      <c r="H107" s="22">
        <f>(3/8)</f>
        <v>0.375</v>
      </c>
      <c r="I107" s="22">
        <f>(4/5)</f>
        <v>0.8</v>
      </c>
      <c r="J107" s="57"/>
      <c r="K107" s="114">
        <v>26</v>
      </c>
      <c r="L107" s="83"/>
    </row>
    <row r="108" spans="1:13" ht="15.75" thickBot="1" x14ac:dyDescent="0.3">
      <c r="A108" s="94" t="s">
        <v>125</v>
      </c>
      <c r="B108" s="41">
        <f>(35/64)</f>
        <v>0.546875</v>
      </c>
      <c r="C108" s="31">
        <f>(3/9)</f>
        <v>0.33333333333333331</v>
      </c>
      <c r="D108" s="31">
        <f>(9/10)</f>
        <v>0.9</v>
      </c>
      <c r="E108" s="31">
        <f>(7/18)</f>
        <v>0.3888888888888889</v>
      </c>
      <c r="F108" s="31">
        <f>(7/10)</f>
        <v>0.7</v>
      </c>
      <c r="G108" s="31">
        <v>0</v>
      </c>
      <c r="H108" s="31">
        <f>(5/8)</f>
        <v>0.625</v>
      </c>
      <c r="I108" s="31">
        <f>(4/5)</f>
        <v>0.8</v>
      </c>
      <c r="J108" s="115"/>
      <c r="K108" s="116">
        <v>35</v>
      </c>
      <c r="L108" s="82"/>
    </row>
    <row r="109" spans="1:13" ht="15.75" thickBot="1" x14ac:dyDescent="0.3">
      <c r="A109" s="2"/>
    </row>
    <row r="110" spans="1:13" x14ac:dyDescent="0.25">
      <c r="A110" s="76" t="s">
        <v>92</v>
      </c>
      <c r="B110" s="26" t="s">
        <v>96</v>
      </c>
      <c r="C110" s="26" t="s">
        <v>97</v>
      </c>
      <c r="D110" s="26" t="s">
        <v>98</v>
      </c>
      <c r="E110" s="26" t="s">
        <v>99</v>
      </c>
      <c r="F110" s="26" t="s">
        <v>100</v>
      </c>
      <c r="G110" s="26" t="s">
        <v>101</v>
      </c>
      <c r="H110" s="26" t="s">
        <v>102</v>
      </c>
      <c r="I110" s="100" t="s">
        <v>103</v>
      </c>
      <c r="J110" s="103" t="s">
        <v>114</v>
      </c>
      <c r="K110" s="121"/>
    </row>
    <row r="111" spans="1:13" ht="15.75" thickBot="1" x14ac:dyDescent="0.3">
      <c r="A111" s="52" t="s">
        <v>78</v>
      </c>
      <c r="B111" s="39">
        <f>(37/63)</f>
        <v>0.58730158730158732</v>
      </c>
      <c r="C111" s="22">
        <f>(1/9)</f>
        <v>0.1111111111111111</v>
      </c>
      <c r="D111" s="22">
        <f>(10/10)</f>
        <v>1</v>
      </c>
      <c r="E111" s="22">
        <f>(12/18)</f>
        <v>0.66666666666666663</v>
      </c>
      <c r="F111" s="22">
        <f>(6/10)</f>
        <v>0.6</v>
      </c>
      <c r="G111" s="22">
        <f>(2/4)</f>
        <v>0.5</v>
      </c>
      <c r="H111" s="45">
        <f>(2/7)</f>
        <v>0.2857142857142857</v>
      </c>
      <c r="I111" s="98">
        <f>(4/5)</f>
        <v>0.8</v>
      </c>
      <c r="J111" s="154">
        <f>(B111+B112+B113)/3</f>
        <v>0.43915343915343913</v>
      </c>
      <c r="K111" s="61">
        <v>37</v>
      </c>
      <c r="L111" s="19" t="s">
        <v>135</v>
      </c>
      <c r="M111" s="19"/>
    </row>
    <row r="112" spans="1:13" x14ac:dyDescent="0.25">
      <c r="A112" s="95" t="s">
        <v>126</v>
      </c>
      <c r="B112" s="87">
        <f>(23/63)</f>
        <v>0.36507936507936506</v>
      </c>
      <c r="C112" s="22">
        <f>(3/9)</f>
        <v>0.33333333333333331</v>
      </c>
      <c r="D112" s="22">
        <f>(2/10)</f>
        <v>0.2</v>
      </c>
      <c r="E112" s="22">
        <f>(9/18)</f>
        <v>0.5</v>
      </c>
      <c r="F112" s="22">
        <f>(1/10)</f>
        <v>0.1</v>
      </c>
      <c r="G112" s="22">
        <f>(2/4)</f>
        <v>0.5</v>
      </c>
      <c r="H112" s="45">
        <f>(3/7)</f>
        <v>0.42857142857142855</v>
      </c>
      <c r="I112" s="22">
        <f>(3/5)</f>
        <v>0.6</v>
      </c>
      <c r="J112" s="106"/>
      <c r="K112" s="114">
        <v>23</v>
      </c>
      <c r="L112" s="19" t="s">
        <v>135</v>
      </c>
      <c r="M112" s="19"/>
    </row>
    <row r="113" spans="1:13" ht="15.75" thickBot="1" x14ac:dyDescent="0.3">
      <c r="A113" s="92" t="s">
        <v>127</v>
      </c>
      <c r="B113" s="84">
        <f>(23/63)</f>
        <v>0.36507936507936506</v>
      </c>
      <c r="C113" s="31">
        <f>(2/9)</f>
        <v>0.22222222222222221</v>
      </c>
      <c r="D113" s="31">
        <f>(1/9)</f>
        <v>0.1111111111111111</v>
      </c>
      <c r="E113" s="31">
        <f>(11/18)</f>
        <v>0.61111111111111116</v>
      </c>
      <c r="F113" s="31">
        <f>(5/10)</f>
        <v>0.5</v>
      </c>
      <c r="G113" s="31">
        <f>(2/4)</f>
        <v>0.5</v>
      </c>
      <c r="H113" s="31">
        <v>0</v>
      </c>
      <c r="I113" s="31">
        <f>(3/5)</f>
        <v>0.6</v>
      </c>
      <c r="J113" s="120"/>
      <c r="K113" s="116">
        <v>23</v>
      </c>
      <c r="L113" s="19" t="s">
        <v>135</v>
      </c>
      <c r="M113" s="19"/>
    </row>
    <row r="114" spans="1:13" ht="15.75" thickBot="1" x14ac:dyDescent="0.3">
      <c r="A114" s="2"/>
    </row>
    <row r="115" spans="1:13" x14ac:dyDescent="0.25">
      <c r="A115" s="76" t="s">
        <v>93</v>
      </c>
      <c r="B115" s="26" t="s">
        <v>96</v>
      </c>
      <c r="C115" s="26" t="s">
        <v>97</v>
      </c>
      <c r="D115" s="26" t="s">
        <v>98</v>
      </c>
      <c r="E115" s="26" t="s">
        <v>99</v>
      </c>
      <c r="F115" s="26" t="s">
        <v>100</v>
      </c>
      <c r="G115" s="26" t="s">
        <v>101</v>
      </c>
      <c r="H115" s="26" t="s">
        <v>102</v>
      </c>
      <c r="I115" s="26" t="s">
        <v>103</v>
      </c>
      <c r="J115" s="143" t="s">
        <v>114</v>
      </c>
      <c r="K115" s="144"/>
    </row>
    <row r="116" spans="1:13" x14ac:dyDescent="0.25">
      <c r="A116" s="33" t="s">
        <v>38</v>
      </c>
      <c r="B116" s="39">
        <f>(35/64)</f>
        <v>0.546875</v>
      </c>
      <c r="C116" s="46">
        <f>(3/9)</f>
        <v>0.33333333333333331</v>
      </c>
      <c r="D116" s="24">
        <f>(10/10)</f>
        <v>1</v>
      </c>
      <c r="E116" s="23">
        <f>(7/18)</f>
        <v>0.3888888888888889</v>
      </c>
      <c r="F116" s="23">
        <f>(6/10)</f>
        <v>0.6</v>
      </c>
      <c r="G116" s="24">
        <f>(1/4)</f>
        <v>0.25</v>
      </c>
      <c r="H116" s="24">
        <f>(8/8)</f>
        <v>1</v>
      </c>
      <c r="I116" s="24">
        <f>(1/5)</f>
        <v>0.2</v>
      </c>
      <c r="J116" s="130">
        <f>(B116+B118+B117+B119)/4</f>
        <v>0.68359375</v>
      </c>
      <c r="K116" s="114">
        <v>35</v>
      </c>
      <c r="L116" s="82"/>
    </row>
    <row r="117" spans="1:13" x14ac:dyDescent="0.25">
      <c r="A117" s="33" t="s">
        <v>73</v>
      </c>
      <c r="B117" s="39">
        <f>(51/64)</f>
        <v>0.796875</v>
      </c>
      <c r="C117" s="22">
        <f>(9/9)</f>
        <v>1</v>
      </c>
      <c r="D117" s="22">
        <f>(10/10)</f>
        <v>1</v>
      </c>
      <c r="E117" s="22">
        <f>(13/18)</f>
        <v>0.72222222222222221</v>
      </c>
      <c r="F117" s="23">
        <f>(6/10)</f>
        <v>0.6</v>
      </c>
      <c r="G117" s="23">
        <f>(1/4)</f>
        <v>0.25</v>
      </c>
      <c r="H117" s="23">
        <f>(8/8)</f>
        <v>1</v>
      </c>
      <c r="I117" s="23">
        <f>(4/5)</f>
        <v>0.8</v>
      </c>
      <c r="J117" s="57"/>
      <c r="K117" s="114">
        <v>51</v>
      </c>
      <c r="L117" s="82"/>
    </row>
    <row r="118" spans="1:13" x14ac:dyDescent="0.25">
      <c r="A118" s="33" t="s">
        <v>39</v>
      </c>
      <c r="B118" s="39">
        <f>(49/64)</f>
        <v>0.765625</v>
      </c>
      <c r="C118" s="23">
        <f>(6/9)</f>
        <v>0.66666666666666663</v>
      </c>
      <c r="D118" s="23">
        <f>(9/10)</f>
        <v>0.9</v>
      </c>
      <c r="E118" s="23">
        <f>(15/18)</f>
        <v>0.83333333333333337</v>
      </c>
      <c r="F118" s="23">
        <f>(7/10)</f>
        <v>0.7</v>
      </c>
      <c r="G118" s="22">
        <v>0</v>
      </c>
      <c r="H118" s="23">
        <f>(8/8)</f>
        <v>1</v>
      </c>
      <c r="I118" s="23">
        <f>(4/5)</f>
        <v>0.8</v>
      </c>
      <c r="J118" s="57"/>
      <c r="K118" s="114">
        <v>49</v>
      </c>
      <c r="L118" s="82"/>
    </row>
    <row r="119" spans="1:13" ht="15.75" thickBot="1" x14ac:dyDescent="0.3">
      <c r="A119" s="94" t="s">
        <v>133</v>
      </c>
      <c r="B119" s="41">
        <f>(40/64)</f>
        <v>0.625</v>
      </c>
      <c r="C119" s="38">
        <f>(3/9)</f>
        <v>0.33333333333333331</v>
      </c>
      <c r="D119" s="38">
        <f>(9/10)</f>
        <v>0.9</v>
      </c>
      <c r="E119" s="38">
        <f>(7/18)</f>
        <v>0.3888888888888889</v>
      </c>
      <c r="F119" s="38">
        <f>(6/10)</f>
        <v>0.6</v>
      </c>
      <c r="G119" s="31">
        <f>(4/4)</f>
        <v>1</v>
      </c>
      <c r="H119" s="38">
        <f>(8/8)</f>
        <v>1</v>
      </c>
      <c r="I119" s="38">
        <f>(3/5)</f>
        <v>0.6</v>
      </c>
      <c r="J119" s="115"/>
      <c r="K119" s="116">
        <v>40</v>
      </c>
      <c r="L119" s="82"/>
    </row>
    <row r="120" spans="1:13" x14ac:dyDescent="0.25">
      <c r="C120" s="42" t="s">
        <v>105</v>
      </c>
      <c r="D120" s="42" t="s">
        <v>104</v>
      </c>
      <c r="E120" s="42" t="s">
        <v>106</v>
      </c>
      <c r="F120" s="42" t="s">
        <v>108</v>
      </c>
      <c r="G120" s="42" t="s">
        <v>107</v>
      </c>
      <c r="H120" s="42" t="s">
        <v>109</v>
      </c>
      <c r="I120" s="43" t="s">
        <v>110</v>
      </c>
      <c r="J120" s="63"/>
    </row>
    <row r="121" spans="1:13" x14ac:dyDescent="0.25">
      <c r="A121" s="74" t="s">
        <v>94</v>
      </c>
      <c r="B121" s="8" t="s">
        <v>96</v>
      </c>
      <c r="C121" s="8" t="s">
        <v>97</v>
      </c>
      <c r="D121" s="8" t="s">
        <v>98</v>
      </c>
      <c r="E121" s="8" t="s">
        <v>99</v>
      </c>
      <c r="F121" s="8" t="s">
        <v>100</v>
      </c>
      <c r="G121" s="8" t="s">
        <v>101</v>
      </c>
      <c r="H121" s="8" t="s">
        <v>102</v>
      </c>
      <c r="I121" s="8" t="s">
        <v>103</v>
      </c>
      <c r="J121" s="129" t="s">
        <v>114</v>
      </c>
      <c r="K121" s="57"/>
    </row>
    <row r="122" spans="1:13" x14ac:dyDescent="0.25">
      <c r="A122" s="75" t="s">
        <v>46</v>
      </c>
      <c r="B122" s="59">
        <f>(30/64)</f>
        <v>0.46875</v>
      </c>
      <c r="C122" s="23">
        <f>(2/9)</f>
        <v>0.22222222222222221</v>
      </c>
      <c r="D122" s="23">
        <f>(8/10)</f>
        <v>0.8</v>
      </c>
      <c r="E122" s="23">
        <f>(7/18)</f>
        <v>0.3888888888888889</v>
      </c>
      <c r="F122" s="22">
        <f>(6/10)</f>
        <v>0.6</v>
      </c>
      <c r="G122" s="22">
        <v>0</v>
      </c>
      <c r="H122" s="23">
        <f>(2/8)</f>
        <v>0.25</v>
      </c>
      <c r="I122" s="22">
        <f>(5/5)</f>
        <v>1</v>
      </c>
      <c r="J122" s="130">
        <f>(B123+B124+B125+B126)/4</f>
        <v>0.20703125</v>
      </c>
      <c r="K122" s="58">
        <v>30</v>
      </c>
      <c r="L122" s="83"/>
    </row>
    <row r="123" spans="1:13" x14ac:dyDescent="0.25">
      <c r="A123" s="152" t="s">
        <v>128</v>
      </c>
      <c r="B123" s="87">
        <f>(25/64)</f>
        <v>0.390625</v>
      </c>
      <c r="C123" s="23">
        <f>(2/9)</f>
        <v>0.22222222222222221</v>
      </c>
      <c r="D123" s="23">
        <f>(5/10)</f>
        <v>0.5</v>
      </c>
      <c r="E123" s="23">
        <f>(1/18)</f>
        <v>5.5555555555555552E-2</v>
      </c>
      <c r="F123" s="22">
        <f>(8/10)</f>
        <v>0.8</v>
      </c>
      <c r="G123" s="22">
        <v>0</v>
      </c>
      <c r="H123" s="23">
        <f>(5/8)</f>
        <v>0.625</v>
      </c>
      <c r="I123" s="22">
        <f>(4/5)</f>
        <v>0.8</v>
      </c>
      <c r="J123" s="57"/>
      <c r="K123" s="58">
        <v>25</v>
      </c>
      <c r="L123" s="83"/>
    </row>
    <row r="124" spans="1:13" x14ac:dyDescent="0.25">
      <c r="A124" s="152" t="s">
        <v>129</v>
      </c>
      <c r="B124" s="59">
        <f>(13/64)</f>
        <v>0.203125</v>
      </c>
      <c r="C124" s="23">
        <f>(1/9)</f>
        <v>0.1111111111111111</v>
      </c>
      <c r="D124" s="23">
        <f>(6/10)</f>
        <v>0.6</v>
      </c>
      <c r="E124" s="23">
        <f t="shared" ref="E124:E125" si="0">(1/18)</f>
        <v>5.5555555555555552E-2</v>
      </c>
      <c r="F124" s="22">
        <f>(2/10)</f>
        <v>0.2</v>
      </c>
      <c r="G124" s="22">
        <v>0</v>
      </c>
      <c r="H124" s="23">
        <f>(2/8)</f>
        <v>0.25</v>
      </c>
      <c r="I124" s="22">
        <f>(1/5)</f>
        <v>0.2</v>
      </c>
      <c r="J124" s="57"/>
      <c r="K124" s="58">
        <v>13</v>
      </c>
      <c r="L124" s="83"/>
    </row>
    <row r="125" spans="1:13" x14ac:dyDescent="0.25">
      <c r="A125" s="152" t="s">
        <v>130</v>
      </c>
      <c r="B125" s="59">
        <f>(15/64)</f>
        <v>0.234375</v>
      </c>
      <c r="C125" s="23">
        <f>(2/9)</f>
        <v>0.22222222222222221</v>
      </c>
      <c r="D125" s="23">
        <f>(5/10)</f>
        <v>0.5</v>
      </c>
      <c r="E125" s="23">
        <f t="shared" si="0"/>
        <v>5.5555555555555552E-2</v>
      </c>
      <c r="F125" s="22">
        <f>(4/10)</f>
        <v>0.4</v>
      </c>
      <c r="G125" s="22">
        <v>0</v>
      </c>
      <c r="H125" s="23">
        <f>(2/8)</f>
        <v>0.25</v>
      </c>
      <c r="I125" s="22">
        <f>(1/5)</f>
        <v>0.2</v>
      </c>
      <c r="J125" s="57"/>
      <c r="K125" s="58">
        <v>15</v>
      </c>
      <c r="L125" s="83"/>
    </row>
    <row r="126" spans="1:13" ht="15.75" thickBot="1" x14ac:dyDescent="0.3">
      <c r="A126" s="1"/>
    </row>
    <row r="127" spans="1:13" x14ac:dyDescent="0.25">
      <c r="A127" s="76" t="s">
        <v>95</v>
      </c>
      <c r="B127" s="26" t="s">
        <v>96</v>
      </c>
      <c r="C127" s="26" t="s">
        <v>97</v>
      </c>
      <c r="D127" s="26" t="s">
        <v>98</v>
      </c>
      <c r="E127" s="26" t="s">
        <v>99</v>
      </c>
      <c r="F127" s="26" t="s">
        <v>100</v>
      </c>
      <c r="G127" s="26" t="s">
        <v>101</v>
      </c>
      <c r="H127" s="26" t="s">
        <v>102</v>
      </c>
      <c r="I127" s="26" t="s">
        <v>103</v>
      </c>
      <c r="J127" s="143" t="s">
        <v>114</v>
      </c>
      <c r="K127" s="155"/>
    </row>
    <row r="128" spans="1:13" x14ac:dyDescent="0.25">
      <c r="A128" s="28" t="s">
        <v>2</v>
      </c>
      <c r="B128" s="59">
        <f>(30/63)</f>
        <v>0.47619047619047616</v>
      </c>
      <c r="C128" s="44">
        <v>0</v>
      </c>
      <c r="D128" s="22">
        <f>(9/10)</f>
        <v>0.9</v>
      </c>
      <c r="E128" s="23">
        <f>(7/18)</f>
        <v>0.3888888888888889</v>
      </c>
      <c r="F128" s="22">
        <f>(7/10)</f>
        <v>0.7</v>
      </c>
      <c r="G128" s="22">
        <f>(1/4)</f>
        <v>0.25</v>
      </c>
      <c r="H128" s="45">
        <f>(6/7)</f>
        <v>0.8571428571428571</v>
      </c>
      <c r="I128" s="44">
        <v>0</v>
      </c>
      <c r="J128" s="130">
        <f>(B129+B130+B131+B128)/4</f>
        <v>0.36514136904761907</v>
      </c>
      <c r="K128" s="114">
        <v>30</v>
      </c>
      <c r="L128" s="19" t="s">
        <v>137</v>
      </c>
    </row>
    <row r="129" spans="1:12" x14ac:dyDescent="0.25">
      <c r="A129" s="28" t="s">
        <v>69</v>
      </c>
      <c r="B129" s="59">
        <f>(23/64)</f>
        <v>0.359375</v>
      </c>
      <c r="C129" s="46">
        <f>(1/9)</f>
        <v>0.1111111111111111</v>
      </c>
      <c r="D129" s="22">
        <f>(7/10)</f>
        <v>0.7</v>
      </c>
      <c r="E129" s="44">
        <v>0</v>
      </c>
      <c r="F129" s="22">
        <f>(2/10)</f>
        <v>0.2</v>
      </c>
      <c r="G129" s="44">
        <v>0</v>
      </c>
      <c r="H129" s="22">
        <f>(8/8)</f>
        <v>1</v>
      </c>
      <c r="I129" s="44">
        <v>1</v>
      </c>
      <c r="J129" s="130"/>
      <c r="K129" s="114">
        <v>23</v>
      </c>
      <c r="L129" s="83"/>
    </row>
    <row r="130" spans="1:12" x14ac:dyDescent="0.25">
      <c r="A130" s="28" t="s">
        <v>31</v>
      </c>
      <c r="B130" s="59">
        <f>(15/64)</f>
        <v>0.234375</v>
      </c>
      <c r="C130" s="22">
        <f>(2/9)</f>
        <v>0.22222222222222221</v>
      </c>
      <c r="D130" s="22">
        <f>(7/10)</f>
        <v>0.7</v>
      </c>
      <c r="E130" s="22">
        <v>0</v>
      </c>
      <c r="F130" s="22">
        <f>(1/10)</f>
        <v>0.1</v>
      </c>
      <c r="G130" s="22">
        <v>0</v>
      </c>
      <c r="H130" s="22">
        <f>(4/8)</f>
        <v>0.5</v>
      </c>
      <c r="I130" s="22">
        <f>(1/5)</f>
        <v>0.2</v>
      </c>
      <c r="J130" s="57"/>
      <c r="K130" s="114">
        <v>15</v>
      </c>
      <c r="L130" s="83"/>
    </row>
    <row r="131" spans="1:12" ht="15.75" thickBot="1" x14ac:dyDescent="0.3">
      <c r="A131" s="29" t="s">
        <v>30</v>
      </c>
      <c r="B131" s="84">
        <f>(25/64)</f>
        <v>0.390625</v>
      </c>
      <c r="C131" s="156">
        <f>(1/9)</f>
        <v>0.1111111111111111</v>
      </c>
      <c r="D131" s="31">
        <f>(8/10)</f>
        <v>0.8</v>
      </c>
      <c r="E131" s="31">
        <v>0</v>
      </c>
      <c r="F131" s="31">
        <f>(7/10)</f>
        <v>0.7</v>
      </c>
      <c r="G131" s="31">
        <v>0</v>
      </c>
      <c r="H131" s="22">
        <f>(4/8)</f>
        <v>0.5</v>
      </c>
      <c r="I131" s="31">
        <f>(3/5)</f>
        <v>0.6</v>
      </c>
      <c r="J131" s="115"/>
      <c r="K131" s="116">
        <v>25</v>
      </c>
      <c r="L131" s="83"/>
    </row>
    <row r="132" spans="1:12" ht="15.75" thickBot="1" x14ac:dyDescent="0.3"/>
    <row r="133" spans="1:12" x14ac:dyDescent="0.25">
      <c r="A133" s="25" t="s">
        <v>63</v>
      </c>
      <c r="B133" s="26" t="s">
        <v>96</v>
      </c>
      <c r="C133" s="26" t="s">
        <v>97</v>
      </c>
      <c r="D133" s="26" t="s">
        <v>98</v>
      </c>
      <c r="E133" s="26" t="s">
        <v>99</v>
      </c>
      <c r="F133" s="26" t="s">
        <v>100</v>
      </c>
      <c r="G133" s="26" t="s">
        <v>101</v>
      </c>
      <c r="H133" s="26" t="s">
        <v>102</v>
      </c>
      <c r="I133" s="27" t="s">
        <v>103</v>
      </c>
      <c r="J133" s="143" t="s">
        <v>114</v>
      </c>
      <c r="K133" s="133"/>
    </row>
    <row r="134" spans="1:12" ht="15.75" thickBot="1" x14ac:dyDescent="0.3">
      <c r="A134" s="47" t="s">
        <v>63</v>
      </c>
      <c r="B134" s="30">
        <f>(22/64)</f>
        <v>0.34375</v>
      </c>
      <c r="C134" s="31">
        <f>4/9</f>
        <v>0.44444444444444442</v>
      </c>
      <c r="D134" s="31">
        <f>(7/10)</f>
        <v>0.7</v>
      </c>
      <c r="E134" s="31">
        <f>(1/18)</f>
        <v>5.5555555555555552E-2</v>
      </c>
      <c r="F134" s="31">
        <f>(5/10)</f>
        <v>0.5</v>
      </c>
      <c r="G134" s="31">
        <v>0</v>
      </c>
      <c r="H134" s="31">
        <f>(2/8)</f>
        <v>0.25</v>
      </c>
      <c r="I134" s="32">
        <f>(3/5)</f>
        <v>0.6</v>
      </c>
      <c r="J134" s="150">
        <v>0.34379999999999999</v>
      </c>
      <c r="K134" s="151">
        <v>22</v>
      </c>
      <c r="L134" s="83"/>
    </row>
    <row r="135" spans="1:12" ht="15.75" thickBot="1" x14ac:dyDescent="0.3"/>
    <row r="136" spans="1:12" x14ac:dyDescent="0.25">
      <c r="A136" s="74" t="s">
        <v>64</v>
      </c>
      <c r="B136" s="8" t="s">
        <v>96</v>
      </c>
      <c r="C136" s="8" t="s">
        <v>97</v>
      </c>
      <c r="D136" s="8" t="s">
        <v>98</v>
      </c>
      <c r="E136" s="8" t="s">
        <v>99</v>
      </c>
      <c r="F136" s="8" t="s">
        <v>100</v>
      </c>
      <c r="G136" s="8" t="s">
        <v>101</v>
      </c>
      <c r="H136" s="8" t="s">
        <v>102</v>
      </c>
      <c r="I136" s="8" t="s">
        <v>103</v>
      </c>
      <c r="J136" s="143" t="s">
        <v>114</v>
      </c>
      <c r="K136" s="57"/>
    </row>
    <row r="137" spans="1:12" ht="15.75" thickBot="1" x14ac:dyDescent="0.3">
      <c r="A137" s="72" t="s">
        <v>64</v>
      </c>
      <c r="B137" s="39">
        <f>(34/63)</f>
        <v>0.53968253968253965</v>
      </c>
      <c r="C137" s="22">
        <f>(4/9)</f>
        <v>0.44444444444444442</v>
      </c>
      <c r="D137" s="22">
        <f>(8/10)</f>
        <v>0.8</v>
      </c>
      <c r="E137" s="22">
        <f>(2/18)</f>
        <v>0.1111111111111111</v>
      </c>
      <c r="F137" s="45">
        <f>(6/9)</f>
        <v>0.66666666666666663</v>
      </c>
      <c r="G137" s="22">
        <f>(3/4)</f>
        <v>0.75</v>
      </c>
      <c r="H137" s="22">
        <f>(7/8)</f>
        <v>0.875</v>
      </c>
      <c r="I137" s="22">
        <f>(4/5)</f>
        <v>0.8</v>
      </c>
      <c r="J137" s="150">
        <v>0.53969999999999996</v>
      </c>
      <c r="K137" s="58">
        <v>34</v>
      </c>
      <c r="L137" s="19" t="s">
        <v>139</v>
      </c>
    </row>
    <row r="138" spans="1:12" ht="15.75" thickBot="1" x14ac:dyDescent="0.3"/>
    <row r="139" spans="1:12" x14ac:dyDescent="0.25">
      <c r="A139" s="12"/>
      <c r="B139" s="64">
        <f t="shared" ref="B139:I139" si="1">SUM(B6:B137)</f>
        <v>40.891865079365076</v>
      </c>
      <c r="C139" s="64">
        <f t="shared" si="1"/>
        <v>29.077777777777744</v>
      </c>
      <c r="D139" s="64">
        <f t="shared" si="1"/>
        <v>72.911111111111111</v>
      </c>
      <c r="E139" s="64">
        <f t="shared" si="1"/>
        <v>27.055555555555564</v>
      </c>
      <c r="F139" s="64">
        <f t="shared" si="1"/>
        <v>39.366666666666696</v>
      </c>
      <c r="G139" s="64">
        <f t="shared" si="1"/>
        <v>10.5</v>
      </c>
      <c r="H139" s="64">
        <f t="shared" si="1"/>
        <v>52.640873015873005</v>
      </c>
      <c r="I139" s="65">
        <f t="shared" si="1"/>
        <v>53.5</v>
      </c>
    </row>
    <row r="140" spans="1:12" ht="15.75" thickBot="1" x14ac:dyDescent="0.3">
      <c r="A140" s="66" t="s">
        <v>113</v>
      </c>
      <c r="B140" s="220">
        <f t="shared" ref="B140:I140" si="2">(B139/96)</f>
        <v>0.42595692791005285</v>
      </c>
      <c r="C140" s="68">
        <f t="shared" si="2"/>
        <v>0.30289351851851815</v>
      </c>
      <c r="D140" s="67">
        <f t="shared" si="2"/>
        <v>0.75949074074074074</v>
      </c>
      <c r="E140" s="68">
        <f t="shared" si="2"/>
        <v>0.28182870370370378</v>
      </c>
      <c r="F140" s="68">
        <f>(F139/96)</f>
        <v>0.41006944444444476</v>
      </c>
      <c r="G140" s="68">
        <f t="shared" si="2"/>
        <v>0.109375</v>
      </c>
      <c r="H140" s="67">
        <f t="shared" si="2"/>
        <v>0.5483424272486771</v>
      </c>
      <c r="I140" s="69">
        <f t="shared" si="2"/>
        <v>0.55729166666666663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06"/>
  <sheetViews>
    <sheetView tabSelected="1" workbookViewId="0">
      <selection activeCell="G50" sqref="G50"/>
    </sheetView>
  </sheetViews>
  <sheetFormatPr baseColWidth="10" defaultRowHeight="15" x14ac:dyDescent="0.25"/>
  <cols>
    <col min="1" max="1" width="38.140625" customWidth="1"/>
    <col min="2" max="2" width="25.140625" customWidth="1"/>
    <col min="3" max="3" width="12.85546875" customWidth="1"/>
    <col min="5" max="5" width="38.28515625" customWidth="1"/>
    <col min="7" max="7" width="13.5703125" bestFit="1" customWidth="1"/>
  </cols>
  <sheetData>
    <row r="3" spans="1:7" ht="15.75" thickBot="1" x14ac:dyDescent="0.3">
      <c r="A3" s="2" t="s">
        <v>141</v>
      </c>
      <c r="B3" s="3" t="s">
        <v>112</v>
      </c>
      <c r="C3" t="s">
        <v>0</v>
      </c>
      <c r="E3" s="2" t="s">
        <v>140</v>
      </c>
    </row>
    <row r="4" spans="1:7" x14ac:dyDescent="0.25">
      <c r="A4" s="73" t="s">
        <v>117</v>
      </c>
      <c r="B4" s="169">
        <f>(39/64)</f>
        <v>0.609375</v>
      </c>
      <c r="C4" s="170">
        <v>49689</v>
      </c>
      <c r="E4" s="73" t="s">
        <v>75</v>
      </c>
      <c r="F4" s="169">
        <f>(48/64)</f>
        <v>0.75</v>
      </c>
      <c r="G4" s="185">
        <v>74641</v>
      </c>
    </row>
    <row r="5" spans="1:7" x14ac:dyDescent="0.25">
      <c r="A5" s="33" t="s">
        <v>118</v>
      </c>
      <c r="B5" s="39">
        <f>(34/64)</f>
        <v>0.53125</v>
      </c>
      <c r="C5" s="162">
        <v>49063</v>
      </c>
      <c r="E5" s="90" t="s">
        <v>131</v>
      </c>
      <c r="F5" s="91">
        <f>(37/64)</f>
        <v>0.578125</v>
      </c>
      <c r="G5" s="162">
        <v>79514</v>
      </c>
    </row>
    <row r="6" spans="1:7" x14ac:dyDescent="0.25">
      <c r="A6" s="34" t="s">
        <v>27</v>
      </c>
      <c r="B6" s="56">
        <f>(27/64)</f>
        <v>0.421875</v>
      </c>
      <c r="C6" s="163">
        <v>38881</v>
      </c>
      <c r="E6" s="33" t="s">
        <v>125</v>
      </c>
      <c r="F6" s="39">
        <f>(35/64)</f>
        <v>0.546875</v>
      </c>
      <c r="G6" s="163">
        <v>70344</v>
      </c>
    </row>
    <row r="7" spans="1:7" x14ac:dyDescent="0.25">
      <c r="A7" s="48" t="s">
        <v>128</v>
      </c>
      <c r="B7" s="87">
        <f>(25/64)</f>
        <v>0.390625</v>
      </c>
      <c r="C7" s="190">
        <v>23737</v>
      </c>
      <c r="E7" s="33" t="s">
        <v>64</v>
      </c>
      <c r="F7" s="39">
        <f>(34/63)</f>
        <v>0.53968253968253965</v>
      </c>
      <c r="G7" s="162">
        <v>86120</v>
      </c>
    </row>
    <row r="8" spans="1:7" x14ac:dyDescent="0.25">
      <c r="A8" s="164" t="s">
        <v>126</v>
      </c>
      <c r="B8" s="87">
        <f>(23/63)</f>
        <v>0.36507936507936506</v>
      </c>
      <c r="C8" s="162">
        <v>35298</v>
      </c>
      <c r="E8" s="33" t="s">
        <v>20</v>
      </c>
      <c r="F8" s="39">
        <f>(32/64)</f>
        <v>0.5</v>
      </c>
      <c r="G8" s="162">
        <v>99013</v>
      </c>
    </row>
    <row r="9" spans="1:7" x14ac:dyDescent="0.25">
      <c r="A9" s="164" t="s">
        <v>127</v>
      </c>
      <c r="B9" s="59">
        <f>(23/63)</f>
        <v>0.36507936507936506</v>
      </c>
      <c r="C9" s="162">
        <v>18591</v>
      </c>
      <c r="E9" s="34" t="s">
        <v>29</v>
      </c>
      <c r="F9" s="56">
        <f>(25/64)</f>
        <v>0.390625</v>
      </c>
      <c r="G9" s="163">
        <v>78892</v>
      </c>
    </row>
    <row r="10" spans="1:7" x14ac:dyDescent="0.25">
      <c r="A10" s="28" t="s">
        <v>44</v>
      </c>
      <c r="B10" s="59">
        <f>(17/64)</f>
        <v>0.265625</v>
      </c>
      <c r="C10" s="160">
        <v>35484</v>
      </c>
      <c r="E10" s="34" t="s">
        <v>21</v>
      </c>
      <c r="F10" s="56">
        <f>(25/64)</f>
        <v>0.390625</v>
      </c>
      <c r="G10" s="163">
        <v>51756</v>
      </c>
    </row>
    <row r="11" spans="1:7" x14ac:dyDescent="0.25">
      <c r="A11" s="161" t="s">
        <v>116</v>
      </c>
      <c r="B11" s="159">
        <f>(16/64)</f>
        <v>0.25</v>
      </c>
      <c r="C11" s="162">
        <v>40529</v>
      </c>
      <c r="E11" s="28" t="s">
        <v>124</v>
      </c>
      <c r="F11" s="59">
        <f>(43/112)</f>
        <v>0.38392857142857145</v>
      </c>
      <c r="G11" s="163">
        <v>92299</v>
      </c>
    </row>
    <row r="12" spans="1:7" x14ac:dyDescent="0.25">
      <c r="A12" s="48" t="s">
        <v>130</v>
      </c>
      <c r="B12" s="59">
        <f>(15/64)</f>
        <v>0.234375</v>
      </c>
      <c r="C12" s="163">
        <v>11305</v>
      </c>
      <c r="E12" s="28" t="s">
        <v>42</v>
      </c>
      <c r="F12" s="59">
        <f>(24/64)</f>
        <v>0.375</v>
      </c>
      <c r="G12" s="160">
        <v>52223</v>
      </c>
    </row>
    <row r="13" spans="1:7" x14ac:dyDescent="0.25">
      <c r="A13" s="28" t="s">
        <v>120</v>
      </c>
      <c r="B13" s="59">
        <f>(14/64)</f>
        <v>0.21875</v>
      </c>
      <c r="C13" s="162">
        <v>31817</v>
      </c>
      <c r="E13" s="28" t="s">
        <v>62</v>
      </c>
      <c r="F13" s="59">
        <f>(23/64)</f>
        <v>0.359375</v>
      </c>
      <c r="G13" s="163">
        <v>95917</v>
      </c>
    </row>
    <row r="14" spans="1:7" x14ac:dyDescent="0.25">
      <c r="A14" s="28" t="s">
        <v>123</v>
      </c>
      <c r="B14" s="59">
        <f>(14/64)</f>
        <v>0.21875</v>
      </c>
      <c r="C14" s="163">
        <v>40360</v>
      </c>
      <c r="E14" s="34" t="s">
        <v>26</v>
      </c>
      <c r="F14" s="56">
        <f>(23/64)</f>
        <v>0.359375</v>
      </c>
      <c r="G14" s="163">
        <v>62389</v>
      </c>
    </row>
    <row r="15" spans="1:7" x14ac:dyDescent="0.25">
      <c r="A15" s="93" t="s">
        <v>115</v>
      </c>
      <c r="B15" s="159">
        <f>(13/64)</f>
        <v>0.203125</v>
      </c>
      <c r="C15" s="160">
        <v>20173</v>
      </c>
      <c r="E15" s="34" t="s">
        <v>22</v>
      </c>
      <c r="F15" s="56">
        <f>(23/64)</f>
        <v>0.359375</v>
      </c>
      <c r="G15" s="163">
        <v>58149</v>
      </c>
    </row>
    <row r="16" spans="1:7" x14ac:dyDescent="0.25">
      <c r="A16" s="48" t="s">
        <v>129</v>
      </c>
      <c r="B16" s="59">
        <f>(13/64)</f>
        <v>0.203125</v>
      </c>
      <c r="C16" s="162">
        <v>14756</v>
      </c>
      <c r="E16" s="93" t="s">
        <v>63</v>
      </c>
      <c r="F16" s="59">
        <f>(22/64)</f>
        <v>0.34375</v>
      </c>
      <c r="G16" s="163">
        <v>84959</v>
      </c>
    </row>
    <row r="17" spans="1:7" ht="15.75" thickBot="1" x14ac:dyDescent="0.3">
      <c r="A17" s="71" t="s">
        <v>121</v>
      </c>
      <c r="B17" s="173">
        <f>(11/64)</f>
        <v>0.171875</v>
      </c>
      <c r="C17" s="174">
        <v>30556</v>
      </c>
      <c r="E17" s="28" t="s">
        <v>35</v>
      </c>
      <c r="F17" s="59">
        <f>(22/64)</f>
        <v>0.34375</v>
      </c>
      <c r="G17" s="162">
        <v>54876</v>
      </c>
    </row>
    <row r="18" spans="1:7" x14ac:dyDescent="0.25">
      <c r="A18" s="195" t="s">
        <v>145</v>
      </c>
      <c r="B18" s="196"/>
      <c r="C18" s="197">
        <v>14</v>
      </c>
      <c r="E18" s="48" t="s">
        <v>33</v>
      </c>
      <c r="F18" s="59">
        <f>(21/64)</f>
        <v>0.328125</v>
      </c>
      <c r="G18" s="162">
        <v>96456</v>
      </c>
    </row>
    <row r="19" spans="1:7" x14ac:dyDescent="0.25">
      <c r="A19" s="191" t="s">
        <v>144</v>
      </c>
      <c r="B19" s="57"/>
      <c r="C19" s="192">
        <f>(14/96)</f>
        <v>0.14583333333333334</v>
      </c>
      <c r="E19" s="28" t="s">
        <v>36</v>
      </c>
      <c r="F19" s="59">
        <f>(21/64)</f>
        <v>0.328125</v>
      </c>
      <c r="G19" s="162">
        <v>84145</v>
      </c>
    </row>
    <row r="20" spans="1:7" x14ac:dyDescent="0.25">
      <c r="A20" s="62" t="s">
        <v>143</v>
      </c>
      <c r="B20" s="189"/>
      <c r="C20" s="192">
        <f>(B4+B5+B6+B7+B8+B9+B10+B11+B12+B13+B14+B15+B16+B17)/14</f>
        <v>0.31777919501133789</v>
      </c>
      <c r="E20" s="28" t="s">
        <v>71</v>
      </c>
      <c r="F20" s="59">
        <f>(20/64)</f>
        <v>0.3125</v>
      </c>
      <c r="G20" s="162">
        <v>83741</v>
      </c>
    </row>
    <row r="21" spans="1:7" ht="15.75" thickBot="1" x14ac:dyDescent="0.3">
      <c r="A21" s="94" t="s">
        <v>146</v>
      </c>
      <c r="B21" s="199">
        <f>(2/14)</f>
        <v>0.14285714285714285</v>
      </c>
      <c r="C21" s="200">
        <v>2</v>
      </c>
      <c r="E21" s="34" t="s">
        <v>32</v>
      </c>
      <c r="F21" s="59">
        <f>(18/64)</f>
        <v>0.28125</v>
      </c>
      <c r="G21" s="162">
        <v>97995</v>
      </c>
    </row>
    <row r="22" spans="1:7" x14ac:dyDescent="0.25">
      <c r="A22" s="176"/>
      <c r="B22" s="177"/>
      <c r="C22" s="186"/>
      <c r="E22" s="34" t="s">
        <v>34</v>
      </c>
      <c r="F22" s="59">
        <f>(18/64)</f>
        <v>0.28125</v>
      </c>
      <c r="G22" s="162">
        <v>82671</v>
      </c>
    </row>
    <row r="23" spans="1:7" x14ac:dyDescent="0.25">
      <c r="A23" s="176"/>
      <c r="B23" s="177"/>
      <c r="C23" s="178"/>
      <c r="E23" s="28" t="s">
        <v>122</v>
      </c>
      <c r="F23" s="59">
        <f>(9/64)</f>
        <v>0.140625</v>
      </c>
      <c r="G23" s="163">
        <v>59187</v>
      </c>
    </row>
    <row r="24" spans="1:7" ht="15.75" thickBot="1" x14ac:dyDescent="0.3">
      <c r="A24" s="2" t="s">
        <v>147</v>
      </c>
      <c r="E24" s="71" t="s">
        <v>119</v>
      </c>
      <c r="F24" s="173">
        <f>(5/64)</f>
        <v>7.8125E-2</v>
      </c>
      <c r="G24" s="174">
        <v>52034</v>
      </c>
    </row>
    <row r="25" spans="1:7" x14ac:dyDescent="0.25">
      <c r="A25" s="33" t="s">
        <v>39</v>
      </c>
      <c r="B25" s="39">
        <f>(49/64)</f>
        <v>0.765625</v>
      </c>
      <c r="C25" s="163">
        <v>186370</v>
      </c>
      <c r="E25" s="195" t="s">
        <v>145</v>
      </c>
      <c r="F25" s="196"/>
      <c r="G25" s="198">
        <v>21</v>
      </c>
    </row>
    <row r="26" spans="1:7" x14ac:dyDescent="0.25">
      <c r="A26" s="33" t="s">
        <v>8</v>
      </c>
      <c r="B26" s="39">
        <f>(45/64)</f>
        <v>0.703125</v>
      </c>
      <c r="C26" s="163">
        <v>194669</v>
      </c>
      <c r="E26" s="191" t="s">
        <v>144</v>
      </c>
      <c r="F26" s="57"/>
      <c r="G26" s="192">
        <f>(21/96)</f>
        <v>0.21875</v>
      </c>
    </row>
    <row r="27" spans="1:7" ht="15.75" thickBot="1" x14ac:dyDescent="0.3">
      <c r="A27" s="33" t="s">
        <v>24</v>
      </c>
      <c r="B27" s="165">
        <f>(43/64)</f>
        <v>0.671875</v>
      </c>
      <c r="C27" s="163">
        <v>144436</v>
      </c>
      <c r="E27" s="193" t="s">
        <v>143</v>
      </c>
      <c r="F27" s="115"/>
      <c r="G27" s="194">
        <f>(F4+F5+F6+F7+F8+F9+F10+F11+F12+F13+F14+F15+F16+F17+F18+F19+F20+F21+F22+F23+F24)/21</f>
        <v>0.37954695767195767</v>
      </c>
    </row>
    <row r="28" spans="1:7" ht="15.75" thickBot="1" x14ac:dyDescent="0.3">
      <c r="A28" s="33" t="s">
        <v>25</v>
      </c>
      <c r="B28" s="165">
        <f>(40/64)</f>
        <v>0.625</v>
      </c>
      <c r="C28" s="163">
        <v>125317</v>
      </c>
      <c r="E28" s="94" t="s">
        <v>146</v>
      </c>
      <c r="F28" s="199">
        <f>(5/22)</f>
        <v>0.22727272727272727</v>
      </c>
      <c r="G28" s="200">
        <v>5</v>
      </c>
    </row>
    <row r="29" spans="1:7" x14ac:dyDescent="0.25">
      <c r="A29" s="175" t="s">
        <v>74</v>
      </c>
      <c r="B29" s="39">
        <f>(40/64)</f>
        <v>0.625</v>
      </c>
      <c r="C29" s="163">
        <v>100313</v>
      </c>
    </row>
    <row r="30" spans="1:7" x14ac:dyDescent="0.25">
      <c r="A30" s="90" t="s">
        <v>78</v>
      </c>
      <c r="B30" s="39">
        <f>(37/63)</f>
        <v>0.58730158730158732</v>
      </c>
      <c r="C30" s="163">
        <v>197138</v>
      </c>
    </row>
    <row r="31" spans="1:7" x14ac:dyDescent="0.25">
      <c r="A31" s="33" t="s">
        <v>11</v>
      </c>
      <c r="B31" s="39">
        <f>(36/64)</f>
        <v>0.5625</v>
      </c>
      <c r="C31" s="163">
        <v>187720</v>
      </c>
    </row>
    <row r="32" spans="1:7" x14ac:dyDescent="0.25">
      <c r="A32" s="33" t="s">
        <v>28</v>
      </c>
      <c r="B32" s="165">
        <f>(35/64)</f>
        <v>0.546875</v>
      </c>
      <c r="C32" s="163">
        <v>175623</v>
      </c>
    </row>
    <row r="33" spans="1:12" ht="15.75" thickBot="1" x14ac:dyDescent="0.3">
      <c r="A33" s="33" t="s">
        <v>18</v>
      </c>
      <c r="B33" s="39">
        <f>(35/64)</f>
        <v>0.546875</v>
      </c>
      <c r="C33" s="163">
        <v>117597</v>
      </c>
      <c r="E33" s="2" t="s">
        <v>150</v>
      </c>
    </row>
    <row r="34" spans="1:12" ht="15.75" thickBot="1" x14ac:dyDescent="0.3">
      <c r="A34" s="127" t="s">
        <v>19</v>
      </c>
      <c r="B34" s="39">
        <f>(33/64)</f>
        <v>0.515625</v>
      </c>
      <c r="C34" s="163">
        <v>131507</v>
      </c>
      <c r="E34" s="73" t="s">
        <v>73</v>
      </c>
      <c r="F34" s="169">
        <f>(51/64)</f>
        <v>0.796875</v>
      </c>
      <c r="G34" s="185">
        <v>246976</v>
      </c>
      <c r="J34" s="176"/>
      <c r="K34" s="177"/>
      <c r="L34" s="178"/>
    </row>
    <row r="35" spans="1:12" x14ac:dyDescent="0.25">
      <c r="A35" s="33" t="s">
        <v>15</v>
      </c>
      <c r="B35" s="165">
        <f>(32/64)</f>
        <v>0.5</v>
      </c>
      <c r="C35" s="163">
        <v>126127</v>
      </c>
      <c r="E35" s="204" t="s">
        <v>77</v>
      </c>
      <c r="F35" s="169">
        <f>(46/64)</f>
        <v>0.71875</v>
      </c>
      <c r="G35" s="185">
        <v>272365</v>
      </c>
      <c r="J35" s="221"/>
      <c r="K35" s="177"/>
      <c r="L35" s="178"/>
    </row>
    <row r="36" spans="1:12" x14ac:dyDescent="0.25">
      <c r="A36" s="34" t="s">
        <v>4</v>
      </c>
      <c r="B36" s="166">
        <f>(31/64)</f>
        <v>0.484375</v>
      </c>
      <c r="C36" s="163">
        <v>114864</v>
      </c>
      <c r="E36" s="33" t="s">
        <v>23</v>
      </c>
      <c r="F36" s="165">
        <f>(41/63)</f>
        <v>0.65079365079365081</v>
      </c>
      <c r="G36" s="163">
        <v>299715</v>
      </c>
      <c r="J36" s="176"/>
      <c r="K36" s="157"/>
      <c r="L36" s="186"/>
    </row>
    <row r="37" spans="1:12" x14ac:dyDescent="0.25">
      <c r="A37" s="28" t="s">
        <v>37</v>
      </c>
      <c r="B37" s="59">
        <f>(30/64)</f>
        <v>0.46875</v>
      </c>
      <c r="C37" s="163">
        <v>172816</v>
      </c>
      <c r="E37" s="33" t="s">
        <v>14</v>
      </c>
      <c r="F37" s="39">
        <f>(41/64)</f>
        <v>0.640625</v>
      </c>
      <c r="G37" s="162">
        <v>209931</v>
      </c>
      <c r="J37" s="176"/>
      <c r="K37" s="177"/>
      <c r="L37" s="178"/>
    </row>
    <row r="38" spans="1:12" x14ac:dyDescent="0.25">
      <c r="A38" s="158" t="s">
        <v>46</v>
      </c>
      <c r="B38" s="59">
        <f>(30/64)</f>
        <v>0.46875</v>
      </c>
      <c r="C38" s="163">
        <v>150979</v>
      </c>
      <c r="E38" s="33" t="s">
        <v>51</v>
      </c>
      <c r="F38" s="39">
        <f>(40/64)</f>
        <v>0.625</v>
      </c>
      <c r="G38" s="162">
        <v>203692</v>
      </c>
      <c r="J38" s="176"/>
      <c r="K38" s="177"/>
      <c r="L38" s="178"/>
    </row>
    <row r="39" spans="1:12" x14ac:dyDescent="0.25">
      <c r="A39" s="34" t="s">
        <v>10</v>
      </c>
      <c r="B39" s="59">
        <f>(28/63)</f>
        <v>0.44444444444444442</v>
      </c>
      <c r="C39" s="163">
        <v>125898</v>
      </c>
      <c r="E39" s="33" t="s">
        <v>61</v>
      </c>
      <c r="F39" s="39">
        <f>(39/64)</f>
        <v>0.609375</v>
      </c>
      <c r="G39" s="162">
        <v>216428</v>
      </c>
      <c r="J39" s="176"/>
      <c r="K39" s="177"/>
      <c r="L39" s="178"/>
    </row>
    <row r="40" spans="1:12" x14ac:dyDescent="0.25">
      <c r="A40" s="34" t="s">
        <v>13</v>
      </c>
      <c r="B40" s="56">
        <f>(26/64)</f>
        <v>0.40625</v>
      </c>
      <c r="C40" s="163">
        <v>137327</v>
      </c>
      <c r="E40" s="33" t="s">
        <v>70</v>
      </c>
      <c r="F40" s="39">
        <f>(36/64)</f>
        <v>0.5625</v>
      </c>
      <c r="G40" s="162">
        <v>244009</v>
      </c>
      <c r="J40" s="176"/>
      <c r="K40" s="177"/>
      <c r="L40" s="178"/>
    </row>
    <row r="41" spans="1:12" x14ac:dyDescent="0.25">
      <c r="A41" s="34" t="s">
        <v>58</v>
      </c>
      <c r="B41" s="59">
        <f>(25/64)</f>
        <v>0.390625</v>
      </c>
      <c r="C41" s="167">
        <v>145115</v>
      </c>
      <c r="E41" s="33" t="s">
        <v>16</v>
      </c>
      <c r="F41" s="39">
        <v>0.5625</v>
      </c>
      <c r="G41" s="162">
        <v>257349</v>
      </c>
      <c r="J41" s="176"/>
      <c r="K41" s="177"/>
      <c r="L41" s="178"/>
    </row>
    <row r="42" spans="1:12" x14ac:dyDescent="0.25">
      <c r="A42" s="34" t="s">
        <v>67</v>
      </c>
      <c r="B42" s="59">
        <f>(25/64)</f>
        <v>0.390625</v>
      </c>
      <c r="C42" s="167">
        <v>141172</v>
      </c>
      <c r="E42" s="33" t="s">
        <v>48</v>
      </c>
      <c r="F42" s="39">
        <f>(34/64)</f>
        <v>0.53125</v>
      </c>
      <c r="G42" s="162">
        <v>220301</v>
      </c>
      <c r="J42" s="222"/>
      <c r="K42" s="177"/>
      <c r="L42" s="178"/>
    </row>
    <row r="43" spans="1:12" x14ac:dyDescent="0.25">
      <c r="A43" s="34" t="s">
        <v>17</v>
      </c>
      <c r="B43" s="59">
        <f>(25/64)</f>
        <v>0.390625</v>
      </c>
      <c r="C43" s="163">
        <v>103123</v>
      </c>
      <c r="E43" s="127" t="s">
        <v>6</v>
      </c>
      <c r="F43" s="39">
        <f>(32/64)</f>
        <v>0.5</v>
      </c>
      <c r="G43" s="162">
        <v>215848</v>
      </c>
      <c r="J43" s="188"/>
      <c r="K43" s="179"/>
      <c r="L43" s="178"/>
    </row>
    <row r="44" spans="1:12" x14ac:dyDescent="0.25">
      <c r="A44" s="28" t="s">
        <v>30</v>
      </c>
      <c r="B44" s="59">
        <f>(25/64)</f>
        <v>0.390625</v>
      </c>
      <c r="C44" s="208">
        <v>169498</v>
      </c>
      <c r="E44" s="48" t="s">
        <v>47</v>
      </c>
      <c r="F44" s="59">
        <f>(29/64)</f>
        <v>0.453125</v>
      </c>
      <c r="G44" s="162">
        <v>292986</v>
      </c>
      <c r="J44" s="188"/>
      <c r="K44" s="223"/>
      <c r="L44" s="202"/>
    </row>
    <row r="45" spans="1:12" x14ac:dyDescent="0.25">
      <c r="A45" s="28" t="s">
        <v>41</v>
      </c>
      <c r="B45" s="59">
        <f>(24/64)</f>
        <v>0.375</v>
      </c>
      <c r="C45" s="163">
        <v>171951</v>
      </c>
      <c r="E45" s="48" t="s">
        <v>60</v>
      </c>
      <c r="F45" s="87">
        <f>(28/64)</f>
        <v>0.4375</v>
      </c>
      <c r="G45" s="168">
        <v>232770</v>
      </c>
      <c r="J45" s="9"/>
      <c r="K45" s="179"/>
      <c r="L45" s="203"/>
    </row>
    <row r="46" spans="1:12" x14ac:dyDescent="0.25">
      <c r="A46" s="34" t="s">
        <v>9</v>
      </c>
      <c r="B46" s="59">
        <f>(23/63)</f>
        <v>0.36507936507936506</v>
      </c>
      <c r="C46" s="163">
        <v>178288</v>
      </c>
      <c r="E46" s="34" t="s">
        <v>66</v>
      </c>
      <c r="F46" s="59">
        <f>(24/64)</f>
        <v>0.375</v>
      </c>
      <c r="G46" s="167">
        <v>212915</v>
      </c>
      <c r="J46" s="187"/>
      <c r="K46" s="179"/>
      <c r="L46" s="186"/>
    </row>
    <row r="47" spans="1:12" x14ac:dyDescent="0.25">
      <c r="A47" s="28" t="s">
        <v>72</v>
      </c>
      <c r="B47" s="59">
        <f>(19/63)</f>
        <v>0.30158730158730157</v>
      </c>
      <c r="C47" s="163">
        <v>150543</v>
      </c>
      <c r="E47" s="28" t="s">
        <v>49</v>
      </c>
      <c r="F47" s="59">
        <f>(23/64)</f>
        <v>0.359375</v>
      </c>
      <c r="G47" s="163">
        <v>214177</v>
      </c>
      <c r="J47" s="9"/>
      <c r="K47" s="179"/>
      <c r="L47" s="178"/>
    </row>
    <row r="48" spans="1:12" x14ac:dyDescent="0.25">
      <c r="A48" s="34" t="s">
        <v>59</v>
      </c>
      <c r="B48" s="59">
        <f>(19/64)</f>
        <v>0.296875</v>
      </c>
      <c r="C48" s="207">
        <v>195389</v>
      </c>
      <c r="E48" s="34" t="s">
        <v>7</v>
      </c>
      <c r="F48" s="59">
        <f>(22/63)</f>
        <v>0.34920634920634919</v>
      </c>
      <c r="G48" s="162">
        <v>206589</v>
      </c>
      <c r="J48" s="187"/>
      <c r="K48" s="179"/>
      <c r="L48" s="180"/>
    </row>
    <row r="49" spans="1:12" ht="15.75" thickBot="1" x14ac:dyDescent="0.3">
      <c r="A49" s="48" t="s">
        <v>53</v>
      </c>
      <c r="B49" s="59">
        <f>(18/64)</f>
        <v>0.28125</v>
      </c>
      <c r="C49" s="163">
        <v>153655</v>
      </c>
      <c r="E49" s="29" t="s">
        <v>31</v>
      </c>
      <c r="F49" s="84">
        <f>(15/64)</f>
        <v>0.234375</v>
      </c>
      <c r="G49" s="184">
        <v>228675</v>
      </c>
      <c r="J49" s="81"/>
      <c r="K49" s="9"/>
      <c r="L49" s="224"/>
    </row>
    <row r="50" spans="1:12" x14ac:dyDescent="0.25">
      <c r="A50" s="34" t="s">
        <v>57</v>
      </c>
      <c r="B50" s="59">
        <f>(17/64)</f>
        <v>0.265625</v>
      </c>
      <c r="C50" s="207">
        <v>132551</v>
      </c>
      <c r="E50" s="195" t="s">
        <v>145</v>
      </c>
      <c r="F50" s="196"/>
      <c r="G50" s="197">
        <v>16</v>
      </c>
      <c r="J50" s="225"/>
      <c r="K50" s="9"/>
      <c r="L50" s="226"/>
    </row>
    <row r="51" spans="1:12" x14ac:dyDescent="0.25">
      <c r="A51" s="48" t="s">
        <v>50</v>
      </c>
      <c r="B51" s="59">
        <f>(17/64)</f>
        <v>0.265625</v>
      </c>
      <c r="C51" s="163">
        <v>102005</v>
      </c>
      <c r="E51" s="191" t="s">
        <v>144</v>
      </c>
      <c r="F51" s="57"/>
      <c r="G51" s="192">
        <f>(16/96)</f>
        <v>0.16666666666666666</v>
      </c>
      <c r="J51" s="7"/>
      <c r="K51" s="227"/>
      <c r="L51" s="226"/>
    </row>
    <row r="52" spans="1:12" x14ac:dyDescent="0.25">
      <c r="A52" s="34" t="s">
        <v>12</v>
      </c>
      <c r="B52" s="59">
        <f>(16/63)</f>
        <v>0.25396825396825395</v>
      </c>
      <c r="C52" s="163">
        <v>128013</v>
      </c>
      <c r="E52" s="62" t="s">
        <v>148</v>
      </c>
      <c r="F52" s="189"/>
      <c r="G52" s="192">
        <f>(F34+F35+F36+F37+F38+F39+F40+F41+F42+F43+F44+F45+F46+F47+F48+F49)/16</f>
        <v>0.525390625</v>
      </c>
      <c r="J52" s="221"/>
      <c r="K52" s="228"/>
      <c r="L52" s="229"/>
    </row>
    <row r="53" spans="1:12" ht="15.75" thickBot="1" x14ac:dyDescent="0.3">
      <c r="A53" s="34" t="s">
        <v>3</v>
      </c>
      <c r="B53" s="59">
        <f>(14/64)</f>
        <v>0.21875</v>
      </c>
      <c r="C53" s="163">
        <v>194310</v>
      </c>
      <c r="E53" s="94" t="s">
        <v>146</v>
      </c>
      <c r="F53" s="199">
        <f>(10/16)</f>
        <v>0.625</v>
      </c>
      <c r="G53" s="200">
        <v>10</v>
      </c>
    </row>
    <row r="54" spans="1:12" x14ac:dyDescent="0.25">
      <c r="A54" s="34" t="s">
        <v>91</v>
      </c>
      <c r="B54" s="59">
        <f>(13/63)</f>
        <v>0.20634920634920634</v>
      </c>
      <c r="C54" s="163">
        <v>168141</v>
      </c>
      <c r="E54" s="205"/>
      <c r="F54" s="179"/>
      <c r="G54" s="178"/>
    </row>
    <row r="55" spans="1:12" ht="15.75" thickBot="1" x14ac:dyDescent="0.3">
      <c r="A55" s="48" t="s">
        <v>90</v>
      </c>
      <c r="B55" s="59">
        <f>(12/64)</f>
        <v>0.1875</v>
      </c>
      <c r="C55" s="163">
        <v>105636</v>
      </c>
      <c r="E55" s="7" t="s">
        <v>142</v>
      </c>
    </row>
    <row r="56" spans="1:12" x14ac:dyDescent="0.25">
      <c r="A56" s="34" t="s">
        <v>56</v>
      </c>
      <c r="B56" s="59">
        <f>(10/64)</f>
        <v>0.15625</v>
      </c>
      <c r="C56" s="207">
        <v>118048</v>
      </c>
      <c r="E56" s="181" t="s">
        <v>1</v>
      </c>
      <c r="F56" s="182">
        <f>(47/64)</f>
        <v>0.734375</v>
      </c>
      <c r="G56" s="183">
        <v>3182981</v>
      </c>
    </row>
    <row r="57" spans="1:12" ht="15.75" thickBot="1" x14ac:dyDescent="0.3">
      <c r="A57" s="172" t="s">
        <v>68</v>
      </c>
      <c r="B57" s="173">
        <f>(7/64)</f>
        <v>0.109375</v>
      </c>
      <c r="C57" s="209">
        <v>114238</v>
      </c>
      <c r="E57" s="33" t="s">
        <v>54</v>
      </c>
      <c r="F57" s="39">
        <f>(41/64)</f>
        <v>0.640625</v>
      </c>
      <c r="G57" s="168">
        <v>569002</v>
      </c>
    </row>
    <row r="58" spans="1:12" x14ac:dyDescent="0.25">
      <c r="A58" s="195" t="s">
        <v>145</v>
      </c>
      <c r="B58" s="196"/>
      <c r="C58" s="197">
        <v>33</v>
      </c>
      <c r="E58" s="33" t="s">
        <v>5</v>
      </c>
      <c r="F58" s="39">
        <f>(38/63)</f>
        <v>0.60317460317460314</v>
      </c>
      <c r="G58" s="162">
        <v>1620809</v>
      </c>
    </row>
    <row r="59" spans="1:12" x14ac:dyDescent="0.25">
      <c r="A59" s="191" t="s">
        <v>144</v>
      </c>
      <c r="B59" s="57"/>
      <c r="C59" s="192">
        <f>(33/96)</f>
        <v>0.34375</v>
      </c>
      <c r="E59" s="33" t="s">
        <v>65</v>
      </c>
      <c r="F59" s="39">
        <f>(35/64)</f>
        <v>0.546875</v>
      </c>
      <c r="G59" s="167">
        <v>689434</v>
      </c>
    </row>
    <row r="60" spans="1:12" x14ac:dyDescent="0.25">
      <c r="A60" s="62" t="s">
        <v>148</v>
      </c>
      <c r="B60" s="189"/>
      <c r="C60" s="192">
        <f>(B25+B26+B27+B28+B29+B30+B31+B32+B33+B34+B35+B36+B37+B38+B39+B40+B41+B42+B43+B44+B45+B46+B47+B48+B49+B50+B51+B52+B54+B53+B55+B56+B57)/33</f>
        <v>0.4172153078403078</v>
      </c>
      <c r="E60" s="33" t="s">
        <v>43</v>
      </c>
      <c r="F60" s="39">
        <f>(32/64)</f>
        <v>0.5</v>
      </c>
      <c r="G60" s="160">
        <v>664938</v>
      </c>
    </row>
    <row r="61" spans="1:12" ht="15.75" thickBot="1" x14ac:dyDescent="0.3">
      <c r="A61" s="94" t="s">
        <v>146</v>
      </c>
      <c r="B61" s="199">
        <f>(11/33)</f>
        <v>0.33333333333333331</v>
      </c>
      <c r="C61" s="200">
        <v>11</v>
      </c>
      <c r="E61" s="29" t="s">
        <v>2</v>
      </c>
      <c r="F61" s="84">
        <f>(30/63)</f>
        <v>0.47619047619047616</v>
      </c>
      <c r="G61" s="184">
        <v>787808</v>
      </c>
    </row>
    <row r="62" spans="1:12" x14ac:dyDescent="0.25">
      <c r="A62" s="201"/>
      <c r="B62" s="215"/>
      <c r="C62" s="186"/>
      <c r="E62" s="212" t="s">
        <v>145</v>
      </c>
      <c r="F62" s="102"/>
      <c r="G62" s="213">
        <v>6</v>
      </c>
    </row>
    <row r="63" spans="1:12" x14ac:dyDescent="0.25">
      <c r="A63" s="9"/>
      <c r="B63" s="179"/>
      <c r="C63" s="202"/>
      <c r="E63" s="191" t="s">
        <v>144</v>
      </c>
      <c r="F63" s="57"/>
      <c r="G63" s="192">
        <f>(6/96)</f>
        <v>6.25E-2</v>
      </c>
    </row>
    <row r="64" spans="1:12" ht="15.75" thickBot="1" x14ac:dyDescent="0.3">
      <c r="A64" s="2" t="s">
        <v>149</v>
      </c>
      <c r="E64" s="62" t="s">
        <v>148</v>
      </c>
      <c r="F64" s="189"/>
      <c r="G64" s="192">
        <f>(F56+F57+F58+F59+F60+F61)/6</f>
        <v>0.58354001322751325</v>
      </c>
    </row>
    <row r="65" spans="1:7" ht="15.75" thickBot="1" x14ac:dyDescent="0.3">
      <c r="A65" s="73" t="s">
        <v>55</v>
      </c>
      <c r="B65" s="169">
        <f>(36/64)</f>
        <v>0.5625</v>
      </c>
      <c r="C65" s="214">
        <v>325916</v>
      </c>
      <c r="E65" s="94" t="s">
        <v>146</v>
      </c>
      <c r="F65" s="199">
        <f>(5/6)</f>
        <v>0.83333333333333337</v>
      </c>
      <c r="G65" s="200">
        <v>5</v>
      </c>
    </row>
    <row r="66" spans="1:7" x14ac:dyDescent="0.25">
      <c r="A66" s="33" t="s">
        <v>38</v>
      </c>
      <c r="B66" s="39">
        <f>(35/64)</f>
        <v>0.546875</v>
      </c>
      <c r="C66" s="210">
        <v>345110</v>
      </c>
    </row>
    <row r="67" spans="1:7" x14ac:dyDescent="0.25">
      <c r="A67" s="28" t="s">
        <v>45</v>
      </c>
      <c r="B67" s="59">
        <f>(30/64)</f>
        <v>0.46875</v>
      </c>
      <c r="C67" s="210">
        <v>443243</v>
      </c>
    </row>
    <row r="68" spans="1:7" x14ac:dyDescent="0.25">
      <c r="A68" s="28" t="s">
        <v>40</v>
      </c>
      <c r="B68" s="59">
        <f>(29/64)</f>
        <v>0.453125</v>
      </c>
      <c r="C68" s="210">
        <v>406492</v>
      </c>
    </row>
    <row r="69" spans="1:7" x14ac:dyDescent="0.25">
      <c r="A69" s="158" t="s">
        <v>52</v>
      </c>
      <c r="B69" s="59">
        <f>(26/64)</f>
        <v>0.40625</v>
      </c>
      <c r="C69" s="210">
        <v>377650</v>
      </c>
    </row>
    <row r="70" spans="1:7" ht="15.75" thickBot="1" x14ac:dyDescent="0.3">
      <c r="A70" s="29" t="s">
        <v>69</v>
      </c>
      <c r="B70" s="84">
        <f>(23/64)</f>
        <v>0.359375</v>
      </c>
      <c r="C70" s="211">
        <v>329988</v>
      </c>
    </row>
    <row r="71" spans="1:7" x14ac:dyDescent="0.25">
      <c r="A71" s="212" t="s">
        <v>145</v>
      </c>
      <c r="B71" s="102"/>
      <c r="C71" s="213">
        <v>6</v>
      </c>
    </row>
    <row r="72" spans="1:7" x14ac:dyDescent="0.25">
      <c r="A72" s="191" t="s">
        <v>144</v>
      </c>
      <c r="B72" s="57"/>
      <c r="C72" s="192">
        <f>(6/96)</f>
        <v>6.25E-2</v>
      </c>
    </row>
    <row r="73" spans="1:7" x14ac:dyDescent="0.25">
      <c r="A73" s="62" t="s">
        <v>148</v>
      </c>
      <c r="B73" s="189"/>
      <c r="C73" s="192">
        <f>(B65+B66+B67+B68+B69+B70)/6</f>
        <v>0.46614583333333331</v>
      </c>
    </row>
    <row r="74" spans="1:7" ht="15.75" thickBot="1" x14ac:dyDescent="0.3">
      <c r="A74" s="94" t="s">
        <v>146</v>
      </c>
      <c r="B74" s="199">
        <f>(2/6)</f>
        <v>0.33333333333333331</v>
      </c>
      <c r="C74" s="200">
        <v>2</v>
      </c>
    </row>
    <row r="75" spans="1:7" x14ac:dyDescent="0.25">
      <c r="A75" s="187"/>
      <c r="B75" s="179"/>
      <c r="C75" s="178"/>
      <c r="E75" s="9"/>
      <c r="F75" s="179"/>
      <c r="G75" s="178"/>
    </row>
    <row r="76" spans="1:7" x14ac:dyDescent="0.25">
      <c r="A76" s="9"/>
      <c r="B76" s="179"/>
      <c r="C76" s="178"/>
      <c r="E76" s="9"/>
      <c r="F76" s="179"/>
      <c r="G76" s="178"/>
    </row>
    <row r="77" spans="1:7" x14ac:dyDescent="0.25">
      <c r="A77" s="187"/>
      <c r="B77" s="179"/>
      <c r="C77" s="186"/>
      <c r="E77" s="188"/>
      <c r="F77" s="179"/>
      <c r="G77" s="178"/>
    </row>
    <row r="78" spans="1:7" x14ac:dyDescent="0.25">
      <c r="A78" s="9"/>
      <c r="B78" s="179"/>
      <c r="C78" s="178"/>
      <c r="E78" s="9"/>
      <c r="F78" s="179"/>
      <c r="G78" s="202"/>
    </row>
    <row r="79" spans="1:7" x14ac:dyDescent="0.25">
      <c r="A79" s="187"/>
      <c r="B79" s="179"/>
      <c r="C79" s="186"/>
      <c r="E79" s="9"/>
      <c r="F79" s="179"/>
      <c r="G79" s="203"/>
    </row>
    <row r="80" spans="1:7" x14ac:dyDescent="0.25">
      <c r="A80" s="9"/>
      <c r="B80" s="179"/>
      <c r="C80" s="202"/>
      <c r="E80" s="9"/>
      <c r="F80" s="9"/>
      <c r="G80" s="9"/>
    </row>
    <row r="81" spans="1:7" x14ac:dyDescent="0.25">
      <c r="A81" s="188"/>
      <c r="B81" s="179"/>
      <c r="C81" s="178"/>
      <c r="E81" s="9"/>
      <c r="F81" s="9"/>
      <c r="G81" s="9"/>
    </row>
    <row r="82" spans="1:7" x14ac:dyDescent="0.25">
      <c r="A82" s="9"/>
      <c r="B82" s="179"/>
      <c r="C82" s="202"/>
      <c r="E82" s="9"/>
      <c r="F82" s="9"/>
      <c r="G82" s="9"/>
    </row>
    <row r="83" spans="1:7" x14ac:dyDescent="0.25">
      <c r="A83" s="188"/>
      <c r="B83" s="179"/>
      <c r="C83" s="178"/>
      <c r="E83" s="9"/>
      <c r="F83" s="9"/>
      <c r="G83" s="9"/>
    </row>
    <row r="84" spans="1:7" x14ac:dyDescent="0.25">
      <c r="A84" s="9"/>
      <c r="B84" s="179"/>
      <c r="C84" s="178"/>
      <c r="E84" s="9"/>
      <c r="F84" s="9"/>
      <c r="G84" s="9"/>
    </row>
    <row r="85" spans="1:7" x14ac:dyDescent="0.25">
      <c r="A85" s="187"/>
      <c r="B85" s="179"/>
      <c r="C85" s="180"/>
      <c r="E85" s="9"/>
      <c r="F85" s="9"/>
      <c r="G85" s="9"/>
    </row>
    <row r="86" spans="1:7" x14ac:dyDescent="0.25">
      <c r="A86" s="9"/>
      <c r="B86" s="9"/>
      <c r="C86" s="9"/>
      <c r="E86" s="9"/>
      <c r="F86" s="9"/>
      <c r="G86" s="9"/>
    </row>
    <row r="87" spans="1:7" x14ac:dyDescent="0.25">
      <c r="E87" s="9"/>
      <c r="F87" s="9"/>
      <c r="G87" s="9"/>
    </row>
    <row r="88" spans="1:7" x14ac:dyDescent="0.25">
      <c r="E88" s="206"/>
      <c r="F88" s="177"/>
      <c r="G88" s="178"/>
    </row>
    <row r="89" spans="1:7" x14ac:dyDescent="0.25">
      <c r="E89" s="176"/>
      <c r="F89" s="157"/>
      <c r="G89" s="186"/>
    </row>
    <row r="90" spans="1:7" x14ac:dyDescent="0.25">
      <c r="E90" s="9"/>
      <c r="F90" s="9"/>
      <c r="G90" s="9"/>
    </row>
    <row r="91" spans="1:7" x14ac:dyDescent="0.25">
      <c r="E91" s="9"/>
      <c r="F91" s="9"/>
      <c r="G91" s="9"/>
    </row>
    <row r="92" spans="1:7" x14ac:dyDescent="0.25">
      <c r="A92" s="2"/>
      <c r="E92" s="9"/>
      <c r="F92" s="9"/>
      <c r="G92" s="9"/>
    </row>
    <row r="93" spans="1:7" x14ac:dyDescent="0.25">
      <c r="A93" s="176"/>
      <c r="B93" s="177"/>
      <c r="C93" s="202"/>
      <c r="E93" s="9"/>
      <c r="F93" s="9"/>
      <c r="G93" s="9"/>
    </row>
    <row r="94" spans="1:7" x14ac:dyDescent="0.25">
      <c r="A94" s="176"/>
      <c r="B94" s="177"/>
      <c r="C94" s="178"/>
      <c r="E94" s="9"/>
      <c r="F94" s="9"/>
      <c r="G94" s="9"/>
    </row>
    <row r="95" spans="1:7" x14ac:dyDescent="0.25">
      <c r="A95" s="187"/>
      <c r="B95" s="179"/>
      <c r="C95" s="178"/>
      <c r="E95" s="9"/>
      <c r="F95" s="9"/>
      <c r="G95" s="9"/>
    </row>
    <row r="96" spans="1:7" x14ac:dyDescent="0.25">
      <c r="A96" s="205"/>
      <c r="B96" s="179"/>
      <c r="C96" s="178"/>
      <c r="E96" s="9"/>
      <c r="F96" s="9"/>
      <c r="G96" s="9"/>
    </row>
    <row r="97" spans="1:7" x14ac:dyDescent="0.25">
      <c r="A97" s="187"/>
      <c r="B97" s="179"/>
      <c r="C97" s="180"/>
      <c r="E97" s="9"/>
      <c r="F97" s="9"/>
      <c r="G97" s="9"/>
    </row>
    <row r="98" spans="1:7" x14ac:dyDescent="0.25">
      <c r="A98" s="187"/>
      <c r="B98" s="179"/>
      <c r="C98" s="180"/>
      <c r="E98" s="9"/>
      <c r="F98" s="9"/>
      <c r="G98" s="9"/>
    </row>
    <row r="99" spans="1:7" x14ac:dyDescent="0.25">
      <c r="A99" s="7"/>
      <c r="B99" s="9"/>
      <c r="C99" s="9"/>
      <c r="E99" s="9"/>
      <c r="F99" s="9"/>
      <c r="G99" s="9"/>
    </row>
    <row r="100" spans="1:7" x14ac:dyDescent="0.25">
      <c r="A100" s="176"/>
      <c r="B100" s="177"/>
      <c r="C100" s="178"/>
      <c r="E100" s="9"/>
      <c r="F100" s="9"/>
      <c r="G100" s="9"/>
    </row>
    <row r="101" spans="1:7" x14ac:dyDescent="0.25">
      <c r="A101" s="176"/>
      <c r="B101" s="177"/>
      <c r="C101" s="202"/>
      <c r="E101" s="9"/>
      <c r="F101" s="9"/>
      <c r="G101" s="9"/>
    </row>
    <row r="102" spans="1:7" x14ac:dyDescent="0.25">
      <c r="A102" s="176"/>
      <c r="B102" s="177"/>
      <c r="C102" s="178"/>
      <c r="E102" s="9"/>
      <c r="F102" s="9"/>
      <c r="G102" s="9"/>
    </row>
    <row r="103" spans="1:7" x14ac:dyDescent="0.25">
      <c r="A103" s="176"/>
      <c r="B103" s="177"/>
      <c r="C103" s="203"/>
      <c r="E103" s="9"/>
      <c r="F103" s="9"/>
      <c r="G103" s="9"/>
    </row>
    <row r="104" spans="1:7" x14ac:dyDescent="0.25">
      <c r="A104" s="176"/>
      <c r="B104" s="177"/>
      <c r="C104" s="218"/>
      <c r="E104" s="9"/>
      <c r="F104" s="9"/>
      <c r="G104" s="9"/>
    </row>
    <row r="105" spans="1:7" x14ac:dyDescent="0.25">
      <c r="A105" s="187"/>
      <c r="B105" s="179"/>
      <c r="C105" s="180"/>
    </row>
    <row r="106" spans="1:7" x14ac:dyDescent="0.25">
      <c r="A106" s="7"/>
      <c r="B106" s="9"/>
      <c r="C106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6B99C9-D9BD-4BC4-A596-2F27AFA8C748}"/>
</file>

<file path=customXml/itemProps2.xml><?xml version="1.0" encoding="utf-8"?>
<ds:datastoreItem xmlns:ds="http://schemas.openxmlformats.org/officeDocument/2006/customXml" ds:itemID="{AE09C3F9-6A05-4F63-BC30-D95015E1F1F6}"/>
</file>

<file path=customXml/itemProps3.xml><?xml version="1.0" encoding="utf-8"?>
<ds:datastoreItem xmlns:ds="http://schemas.openxmlformats.org/officeDocument/2006/customXml" ds:itemID="{353E17F8-E6BC-4894-B0D3-2551348D6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RANKING POR AYTOS.</vt:lpstr>
      <vt:lpstr>RANKING POR ÁREAS</vt:lpstr>
      <vt:lpstr>T POR SEGMENTOS DE 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alejandro rodriguez</cp:lastModifiedBy>
  <cp:lastPrinted>2019-12-02T19:36:55Z</cp:lastPrinted>
  <dcterms:created xsi:type="dcterms:W3CDTF">2017-06-10T17:40:56Z</dcterms:created>
  <dcterms:modified xsi:type="dcterms:W3CDTF">2019-12-02T20:16:15Z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