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TESIS TRANSPARENCIA\TERCERA PARTE INDICADORES\ANEXOS\ANEXO I\VARIABLES DE ENTORNO\"/>
    </mc:Choice>
  </mc:AlternateContent>
  <xr:revisionPtr revIDLastSave="0" documentId="13_ncr:1_{BD62C5DF-AA47-453F-BAD3-F5967444F8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TOS E INGRESOS PRESUPUESTARIOS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4" i="1" l="1"/>
  <c r="S144" i="1" s="1"/>
  <c r="P143" i="1"/>
  <c r="S143" i="1" s="1"/>
  <c r="P142" i="1"/>
  <c r="S142" i="1" s="1"/>
  <c r="P137" i="1"/>
  <c r="S137" i="1" s="1"/>
  <c r="P123" i="1" l="1"/>
  <c r="S123" i="1" s="1"/>
  <c r="P122" i="1"/>
  <c r="S122" i="1" s="1"/>
  <c r="P93" i="1"/>
  <c r="S93" i="1"/>
  <c r="S92" i="1"/>
  <c r="S50" i="1"/>
  <c r="P52" i="1"/>
  <c r="S52" i="1" s="1"/>
  <c r="P51" i="1"/>
  <c r="S51" i="1" s="1"/>
  <c r="P50" i="1"/>
  <c r="P38" i="1"/>
  <c r="P37" i="1"/>
  <c r="S37" i="1" s="1"/>
  <c r="P44" i="1"/>
  <c r="S44" i="1" s="1"/>
  <c r="P45" i="1"/>
  <c r="S45" i="1" s="1"/>
  <c r="P31" i="1"/>
  <c r="S31" i="1" s="1"/>
  <c r="P30" i="1"/>
  <c r="S30" i="1" s="1"/>
  <c r="P24" i="1"/>
  <c r="S24" i="1" s="1"/>
  <c r="D143" i="1" l="1"/>
  <c r="D142" i="1"/>
  <c r="D141" i="1"/>
  <c r="L144" i="1"/>
  <c r="H144" i="1"/>
  <c r="J143" i="1"/>
  <c r="M144" i="1"/>
  <c r="M143" i="1"/>
  <c r="M142" i="1"/>
  <c r="M141" i="1"/>
  <c r="H143" i="1"/>
  <c r="D144" i="1"/>
  <c r="F144" i="1"/>
  <c r="F143" i="1"/>
  <c r="F142" i="1"/>
  <c r="H142" i="1"/>
  <c r="M137" i="1"/>
  <c r="L137" i="1"/>
  <c r="J137" i="1"/>
  <c r="F137" i="1"/>
  <c r="D137" i="1"/>
  <c r="M123" i="1"/>
  <c r="L123" i="1"/>
  <c r="H123" i="1"/>
  <c r="D123" i="1"/>
  <c r="F123" i="1"/>
  <c r="M122" i="1"/>
  <c r="L122" i="1"/>
  <c r="H122" i="1"/>
  <c r="D122" i="1"/>
  <c r="F122" i="1"/>
  <c r="L93" i="1"/>
  <c r="H93" i="1"/>
  <c r="D93" i="1"/>
  <c r="D92" i="1"/>
  <c r="M93" i="1"/>
  <c r="M92" i="1"/>
  <c r="H92" i="1"/>
  <c r="F93" i="1"/>
  <c r="F92" i="1"/>
  <c r="F91" i="1"/>
  <c r="D52" i="1"/>
  <c r="F52" i="1"/>
  <c r="H52" i="1"/>
  <c r="L52" i="1"/>
  <c r="D51" i="1"/>
  <c r="L51" i="1"/>
  <c r="H51" i="1"/>
  <c r="F51" i="1"/>
  <c r="F50" i="1"/>
  <c r="D50" i="1"/>
  <c r="J50" i="1"/>
  <c r="H50" i="1"/>
  <c r="M52" i="1"/>
  <c r="M51" i="1"/>
  <c r="M50" i="1"/>
  <c r="M45" i="1"/>
  <c r="M44" i="1"/>
  <c r="D44" i="1"/>
  <c r="F44" i="1"/>
  <c r="D45" i="1"/>
  <c r="F45" i="1"/>
  <c r="F43" i="1"/>
  <c r="D38" i="1"/>
  <c r="M38" i="1"/>
  <c r="F38" i="1"/>
  <c r="D37" i="1"/>
  <c r="M37" i="1"/>
  <c r="J37" i="1"/>
  <c r="H37" i="1"/>
  <c r="F37" i="1"/>
  <c r="F39" i="1" s="1"/>
  <c r="M31" i="1"/>
  <c r="J31" i="1"/>
  <c r="H31" i="1"/>
  <c r="F31" i="1"/>
  <c r="M30" i="1"/>
  <c r="L30" i="1"/>
  <c r="J30" i="1"/>
  <c r="H30" i="1"/>
  <c r="F30" i="1"/>
  <c r="D31" i="1"/>
  <c r="D30" i="1"/>
  <c r="M24" i="1"/>
  <c r="L24" i="1"/>
  <c r="J24" i="1"/>
  <c r="H24" i="1"/>
  <c r="D24" i="1"/>
  <c r="F24" i="1"/>
  <c r="F40" i="1"/>
  <c r="P158" i="1"/>
  <c r="R158" i="1"/>
  <c r="F158" i="1"/>
  <c r="D158" i="1"/>
  <c r="T155" i="1"/>
  <c r="P155" i="1"/>
  <c r="S155" i="1" s="1"/>
  <c r="E155" i="1"/>
  <c r="J155" i="1" s="1"/>
  <c r="T151" i="1"/>
  <c r="P151" i="1"/>
  <c r="S151" i="1"/>
  <c r="M151" i="1"/>
  <c r="L151" i="1"/>
  <c r="J151" i="1"/>
  <c r="H151" i="1"/>
  <c r="F151" i="1"/>
  <c r="D151" i="1"/>
  <c r="T150" i="1"/>
  <c r="P150" i="1"/>
  <c r="R150" i="1" s="1"/>
  <c r="M150" i="1"/>
  <c r="L150" i="1"/>
  <c r="J150" i="1"/>
  <c r="H150" i="1"/>
  <c r="F150" i="1"/>
  <c r="D150" i="1"/>
  <c r="T149" i="1"/>
  <c r="V148" i="1" s="1"/>
  <c r="P149" i="1"/>
  <c r="S149" i="1"/>
  <c r="M149" i="1"/>
  <c r="L149" i="1"/>
  <c r="J149" i="1"/>
  <c r="H149" i="1"/>
  <c r="F149" i="1"/>
  <c r="D149" i="1"/>
  <c r="P148" i="1"/>
  <c r="M148" i="1"/>
  <c r="L148" i="1"/>
  <c r="J148" i="1"/>
  <c r="H148" i="1"/>
  <c r="F148" i="1"/>
  <c r="F152" i="1" s="1"/>
  <c r="D148" i="1"/>
  <c r="T146" i="1"/>
  <c r="P146" i="1"/>
  <c r="R146" i="1"/>
  <c r="T145" i="1"/>
  <c r="P145" i="1"/>
  <c r="R145" i="1" s="1"/>
  <c r="T141" i="1"/>
  <c r="P141" i="1"/>
  <c r="H141" i="1"/>
  <c r="F141" i="1"/>
  <c r="F145" i="1" s="1"/>
  <c r="F146" i="1"/>
  <c r="T139" i="1"/>
  <c r="P139" i="1"/>
  <c r="T138" i="1"/>
  <c r="P138" i="1"/>
  <c r="T136" i="1"/>
  <c r="P136" i="1"/>
  <c r="R136" i="1" s="1"/>
  <c r="M136" i="1"/>
  <c r="L136" i="1"/>
  <c r="J136" i="1"/>
  <c r="H136" i="1"/>
  <c r="F136" i="1"/>
  <c r="D136" i="1"/>
  <c r="T135" i="1"/>
  <c r="P135" i="1"/>
  <c r="S135" i="1"/>
  <c r="M135" i="1"/>
  <c r="L135" i="1"/>
  <c r="J135" i="1"/>
  <c r="H135" i="1"/>
  <c r="F135" i="1"/>
  <c r="D135" i="1"/>
  <c r="T134" i="1"/>
  <c r="P134" i="1"/>
  <c r="S134" i="1" s="1"/>
  <c r="R134" i="1"/>
  <c r="M134" i="1"/>
  <c r="L134" i="1"/>
  <c r="J134" i="1"/>
  <c r="H134" i="1"/>
  <c r="F134" i="1"/>
  <c r="F139" i="1" s="1"/>
  <c r="D134" i="1"/>
  <c r="D139" i="1"/>
  <c r="T132" i="1"/>
  <c r="P132" i="1"/>
  <c r="T131" i="1"/>
  <c r="P131" i="1"/>
  <c r="T128" i="1"/>
  <c r="P128" i="1"/>
  <c r="T126" i="1"/>
  <c r="P126" i="1"/>
  <c r="T125" i="1"/>
  <c r="P125" i="1"/>
  <c r="T121" i="1"/>
  <c r="P121" i="1"/>
  <c r="S121" i="1" s="1"/>
  <c r="M121" i="1"/>
  <c r="L121" i="1"/>
  <c r="J121" i="1"/>
  <c r="H121" i="1"/>
  <c r="F121" i="1"/>
  <c r="D121" i="1"/>
  <c r="T120" i="1"/>
  <c r="P120" i="1"/>
  <c r="M120" i="1"/>
  <c r="L120" i="1"/>
  <c r="J120" i="1"/>
  <c r="H120" i="1"/>
  <c r="F120" i="1"/>
  <c r="F124" i="1" s="1"/>
  <c r="D120" i="1"/>
  <c r="D124" i="1" s="1"/>
  <c r="T118" i="1"/>
  <c r="P118" i="1"/>
  <c r="T117" i="1"/>
  <c r="P117" i="1"/>
  <c r="T115" i="1"/>
  <c r="P115" i="1"/>
  <c r="S115" i="1"/>
  <c r="M115" i="1"/>
  <c r="L115" i="1"/>
  <c r="J115" i="1"/>
  <c r="H115" i="1"/>
  <c r="F115" i="1"/>
  <c r="D115" i="1"/>
  <c r="T114" i="1"/>
  <c r="P114" i="1"/>
  <c r="M114" i="1"/>
  <c r="L114" i="1"/>
  <c r="J114" i="1"/>
  <c r="H114" i="1"/>
  <c r="F114" i="1"/>
  <c r="D114" i="1"/>
  <c r="T113" i="1"/>
  <c r="P113" i="1"/>
  <c r="M113" i="1"/>
  <c r="L113" i="1"/>
  <c r="J113" i="1"/>
  <c r="H113" i="1"/>
  <c r="F113" i="1"/>
  <c r="D113" i="1"/>
  <c r="T112" i="1"/>
  <c r="P112" i="1"/>
  <c r="M112" i="1"/>
  <c r="L112" i="1"/>
  <c r="J112" i="1"/>
  <c r="H112" i="1"/>
  <c r="F112" i="1"/>
  <c r="D112" i="1"/>
  <c r="T111" i="1"/>
  <c r="P111" i="1"/>
  <c r="M111" i="1"/>
  <c r="L111" i="1"/>
  <c r="J111" i="1"/>
  <c r="H111" i="1"/>
  <c r="F111" i="1"/>
  <c r="D111" i="1"/>
  <c r="T110" i="1"/>
  <c r="P110" i="1"/>
  <c r="M110" i="1"/>
  <c r="L110" i="1"/>
  <c r="J110" i="1"/>
  <c r="H110" i="1"/>
  <c r="F110" i="1"/>
  <c r="D110" i="1"/>
  <c r="T109" i="1"/>
  <c r="P109" i="1"/>
  <c r="R109" i="1" s="1"/>
  <c r="R117" i="1" s="1"/>
  <c r="M109" i="1"/>
  <c r="L109" i="1"/>
  <c r="J109" i="1"/>
  <c r="H109" i="1"/>
  <c r="F109" i="1"/>
  <c r="D109" i="1"/>
  <c r="T108" i="1"/>
  <c r="P108" i="1"/>
  <c r="M108" i="1"/>
  <c r="L108" i="1"/>
  <c r="J108" i="1"/>
  <c r="H108" i="1"/>
  <c r="F108" i="1"/>
  <c r="D108" i="1"/>
  <c r="T107" i="1"/>
  <c r="P107" i="1"/>
  <c r="M107" i="1"/>
  <c r="L107" i="1"/>
  <c r="J107" i="1"/>
  <c r="H107" i="1"/>
  <c r="F107" i="1"/>
  <c r="D107" i="1"/>
  <c r="T106" i="1"/>
  <c r="P106" i="1"/>
  <c r="S106" i="1" s="1"/>
  <c r="M106" i="1"/>
  <c r="L106" i="1"/>
  <c r="J106" i="1"/>
  <c r="H106" i="1"/>
  <c r="F106" i="1"/>
  <c r="F116" i="1" s="1"/>
  <c r="D106" i="1"/>
  <c r="D116" i="1" s="1"/>
  <c r="T104" i="1"/>
  <c r="P104" i="1"/>
  <c r="T103" i="1"/>
  <c r="P103" i="1"/>
  <c r="T102" i="1"/>
  <c r="P102" i="1"/>
  <c r="S102" i="1" s="1"/>
  <c r="M102" i="1"/>
  <c r="L102" i="1"/>
  <c r="J102" i="1"/>
  <c r="H102" i="1"/>
  <c r="F102" i="1"/>
  <c r="D102" i="1"/>
  <c r="T101" i="1"/>
  <c r="P101" i="1"/>
  <c r="M101" i="1"/>
  <c r="L101" i="1"/>
  <c r="J101" i="1"/>
  <c r="H101" i="1"/>
  <c r="F101" i="1"/>
  <c r="D101" i="1"/>
  <c r="T100" i="1"/>
  <c r="P100" i="1"/>
  <c r="R100" i="1" s="1"/>
  <c r="R103" i="1" s="1"/>
  <c r="M100" i="1"/>
  <c r="L100" i="1"/>
  <c r="J100" i="1"/>
  <c r="H100" i="1"/>
  <c r="F100" i="1"/>
  <c r="D100" i="1"/>
  <c r="T99" i="1"/>
  <c r="P99" i="1"/>
  <c r="M99" i="1"/>
  <c r="L99" i="1"/>
  <c r="J99" i="1"/>
  <c r="H99" i="1"/>
  <c r="F99" i="1"/>
  <c r="D99" i="1"/>
  <c r="T98" i="1"/>
  <c r="P98" i="1"/>
  <c r="S98" i="1"/>
  <c r="M98" i="1"/>
  <c r="L98" i="1"/>
  <c r="J98" i="1"/>
  <c r="H98" i="1"/>
  <c r="F98" i="1"/>
  <c r="D98" i="1"/>
  <c r="T97" i="1"/>
  <c r="P97" i="1"/>
  <c r="M97" i="1"/>
  <c r="L97" i="1"/>
  <c r="J97" i="1"/>
  <c r="H97" i="1"/>
  <c r="F97" i="1"/>
  <c r="D97" i="1"/>
  <c r="T95" i="1"/>
  <c r="P95" i="1"/>
  <c r="T94" i="1"/>
  <c r="P94" i="1"/>
  <c r="T91" i="1"/>
  <c r="P91" i="1"/>
  <c r="S91" i="1" s="1"/>
  <c r="V89" i="1" s="1"/>
  <c r="M91" i="1"/>
  <c r="L91" i="1"/>
  <c r="J91" i="1"/>
  <c r="H91" i="1"/>
  <c r="T90" i="1"/>
  <c r="P90" i="1"/>
  <c r="M90" i="1"/>
  <c r="L90" i="1"/>
  <c r="J90" i="1"/>
  <c r="H90" i="1"/>
  <c r="F90" i="1"/>
  <c r="D90" i="1"/>
  <c r="D94" i="1" s="1"/>
  <c r="T88" i="1"/>
  <c r="P88" i="1"/>
  <c r="T87" i="1"/>
  <c r="P87" i="1"/>
  <c r="T86" i="1"/>
  <c r="P86" i="1"/>
  <c r="S86" i="1" s="1"/>
  <c r="M86" i="1"/>
  <c r="L86" i="1"/>
  <c r="J86" i="1"/>
  <c r="H86" i="1"/>
  <c r="F86" i="1"/>
  <c r="D86" i="1"/>
  <c r="T85" i="1"/>
  <c r="P85" i="1"/>
  <c r="R85" i="1" s="1"/>
  <c r="M85" i="1"/>
  <c r="L85" i="1"/>
  <c r="J85" i="1"/>
  <c r="H85" i="1"/>
  <c r="F85" i="1"/>
  <c r="D85" i="1"/>
  <c r="T84" i="1"/>
  <c r="P84" i="1"/>
  <c r="M84" i="1"/>
  <c r="L84" i="1"/>
  <c r="J84" i="1"/>
  <c r="H84" i="1"/>
  <c r="F84" i="1"/>
  <c r="D84" i="1"/>
  <c r="T83" i="1"/>
  <c r="P83" i="1"/>
  <c r="S83" i="1" s="1"/>
  <c r="M83" i="1"/>
  <c r="L83" i="1"/>
  <c r="J83" i="1"/>
  <c r="H83" i="1"/>
  <c r="F83" i="1"/>
  <c r="D83" i="1"/>
  <c r="T82" i="1"/>
  <c r="P82" i="1"/>
  <c r="R82" i="1"/>
  <c r="M82" i="1"/>
  <c r="L82" i="1"/>
  <c r="J82" i="1"/>
  <c r="H82" i="1"/>
  <c r="F82" i="1"/>
  <c r="D82" i="1"/>
  <c r="T81" i="1"/>
  <c r="P81" i="1"/>
  <c r="S81" i="1" s="1"/>
  <c r="M81" i="1"/>
  <c r="L81" i="1"/>
  <c r="J81" i="1"/>
  <c r="H81" i="1"/>
  <c r="F81" i="1"/>
  <c r="D81" i="1"/>
  <c r="T80" i="1"/>
  <c r="P80" i="1"/>
  <c r="R80" i="1" s="1"/>
  <c r="M80" i="1"/>
  <c r="L80" i="1"/>
  <c r="J80" i="1"/>
  <c r="H80" i="1"/>
  <c r="F80" i="1"/>
  <c r="D80" i="1"/>
  <c r="T79" i="1"/>
  <c r="P79" i="1"/>
  <c r="S79" i="1" s="1"/>
  <c r="V78" i="1" s="1"/>
  <c r="M79" i="1"/>
  <c r="L79" i="1"/>
  <c r="J79" i="1"/>
  <c r="H79" i="1"/>
  <c r="F79" i="1"/>
  <c r="D79" i="1"/>
  <c r="T78" i="1"/>
  <c r="P78" i="1"/>
  <c r="M78" i="1"/>
  <c r="L78" i="1"/>
  <c r="J78" i="1"/>
  <c r="H78" i="1"/>
  <c r="F78" i="1"/>
  <c r="D78" i="1"/>
  <c r="T77" i="1"/>
  <c r="P77" i="1"/>
  <c r="M77" i="1"/>
  <c r="L77" i="1"/>
  <c r="J77" i="1"/>
  <c r="H77" i="1"/>
  <c r="F77" i="1"/>
  <c r="D77" i="1"/>
  <c r="T76" i="1"/>
  <c r="P76" i="1"/>
  <c r="M76" i="1"/>
  <c r="L76" i="1"/>
  <c r="J76" i="1"/>
  <c r="H76" i="1"/>
  <c r="F76" i="1"/>
  <c r="D76" i="1"/>
  <c r="T74" i="1"/>
  <c r="P74" i="1"/>
  <c r="T73" i="1"/>
  <c r="P73" i="1"/>
  <c r="T72" i="1"/>
  <c r="P72" i="1"/>
  <c r="R72" i="1"/>
  <c r="M72" i="1"/>
  <c r="L72" i="1"/>
  <c r="J72" i="1"/>
  <c r="H72" i="1"/>
  <c r="F72" i="1"/>
  <c r="D72" i="1"/>
  <c r="T71" i="1"/>
  <c r="P71" i="1"/>
  <c r="S71" i="1" s="1"/>
  <c r="M71" i="1"/>
  <c r="L71" i="1"/>
  <c r="J71" i="1"/>
  <c r="H71" i="1"/>
  <c r="F71" i="1"/>
  <c r="D71" i="1"/>
  <c r="T70" i="1"/>
  <c r="P70" i="1"/>
  <c r="R70" i="1" s="1"/>
  <c r="M70" i="1"/>
  <c r="L70" i="1"/>
  <c r="J70" i="1"/>
  <c r="H70" i="1"/>
  <c r="F70" i="1"/>
  <c r="D70" i="1"/>
  <c r="T69" i="1"/>
  <c r="P69" i="1"/>
  <c r="S69" i="1" s="1"/>
  <c r="M69" i="1"/>
  <c r="L69" i="1"/>
  <c r="J69" i="1"/>
  <c r="H69" i="1"/>
  <c r="F69" i="1"/>
  <c r="D69" i="1"/>
  <c r="T68" i="1"/>
  <c r="P68" i="1"/>
  <c r="R68" i="1"/>
  <c r="M68" i="1"/>
  <c r="L68" i="1"/>
  <c r="J68" i="1"/>
  <c r="H68" i="1"/>
  <c r="F68" i="1"/>
  <c r="D68" i="1"/>
  <c r="T66" i="1"/>
  <c r="P66" i="1"/>
  <c r="T65" i="1"/>
  <c r="P65" i="1"/>
  <c r="T64" i="1"/>
  <c r="P64" i="1"/>
  <c r="M64" i="1"/>
  <c r="L64" i="1"/>
  <c r="J64" i="1"/>
  <c r="H64" i="1"/>
  <c r="F64" i="1"/>
  <c r="D64" i="1"/>
  <c r="T63" i="1"/>
  <c r="P63" i="1"/>
  <c r="R63" i="1" s="1"/>
  <c r="M63" i="1"/>
  <c r="L63" i="1"/>
  <c r="J63" i="1"/>
  <c r="H63" i="1"/>
  <c r="F63" i="1"/>
  <c r="D63" i="1"/>
  <c r="T62" i="1"/>
  <c r="P62" i="1"/>
  <c r="M62" i="1"/>
  <c r="L62" i="1"/>
  <c r="J62" i="1"/>
  <c r="H62" i="1"/>
  <c r="F62" i="1"/>
  <c r="D62" i="1"/>
  <c r="T61" i="1"/>
  <c r="P61" i="1"/>
  <c r="S61" i="1" s="1"/>
  <c r="M61" i="1"/>
  <c r="L61" i="1"/>
  <c r="J61" i="1"/>
  <c r="H61" i="1"/>
  <c r="F61" i="1"/>
  <c r="D61" i="1"/>
  <c r="T60" i="1"/>
  <c r="P60" i="1"/>
  <c r="M60" i="1"/>
  <c r="L60" i="1"/>
  <c r="J60" i="1"/>
  <c r="H60" i="1"/>
  <c r="F60" i="1"/>
  <c r="D60" i="1"/>
  <c r="T59" i="1"/>
  <c r="P59" i="1"/>
  <c r="R59" i="1"/>
  <c r="M59" i="1"/>
  <c r="L59" i="1"/>
  <c r="J59" i="1"/>
  <c r="H59" i="1"/>
  <c r="F59" i="1"/>
  <c r="D59" i="1"/>
  <c r="T58" i="1"/>
  <c r="P58" i="1"/>
  <c r="M58" i="1"/>
  <c r="L58" i="1"/>
  <c r="J58" i="1"/>
  <c r="H58" i="1"/>
  <c r="F58" i="1"/>
  <c r="D58" i="1"/>
  <c r="T57" i="1"/>
  <c r="P57" i="1"/>
  <c r="S57" i="1"/>
  <c r="M57" i="1"/>
  <c r="L57" i="1"/>
  <c r="J57" i="1"/>
  <c r="H57" i="1"/>
  <c r="F57" i="1"/>
  <c r="D57" i="1"/>
  <c r="T56" i="1"/>
  <c r="P56" i="1"/>
  <c r="M56" i="1"/>
  <c r="L56" i="1"/>
  <c r="J56" i="1"/>
  <c r="H56" i="1"/>
  <c r="F56" i="1"/>
  <c r="D56" i="1"/>
  <c r="T54" i="1"/>
  <c r="P54" i="1"/>
  <c r="T53" i="1"/>
  <c r="P53" i="1"/>
  <c r="T49" i="1"/>
  <c r="P49" i="1"/>
  <c r="M49" i="1"/>
  <c r="L49" i="1"/>
  <c r="J49" i="1"/>
  <c r="H49" i="1"/>
  <c r="F49" i="1"/>
  <c r="F53" i="1" s="1"/>
  <c r="D49" i="1"/>
  <c r="D53" i="1" s="1"/>
  <c r="D54" i="1"/>
  <c r="T47" i="1"/>
  <c r="T46" i="1"/>
  <c r="T43" i="1"/>
  <c r="P43" i="1"/>
  <c r="S43" i="1" s="1"/>
  <c r="V43" i="1" s="1"/>
  <c r="M43" i="1"/>
  <c r="L43" i="1"/>
  <c r="J43" i="1"/>
  <c r="H43" i="1"/>
  <c r="D43" i="1"/>
  <c r="T42" i="1"/>
  <c r="R42" i="1"/>
  <c r="M42" i="1"/>
  <c r="L42" i="1"/>
  <c r="J42" i="1"/>
  <c r="H42" i="1"/>
  <c r="F42" i="1"/>
  <c r="F46" i="1" s="1"/>
  <c r="D42" i="1"/>
  <c r="D46" i="1" s="1"/>
  <c r="T40" i="1"/>
  <c r="T39" i="1"/>
  <c r="T36" i="1"/>
  <c r="P36" i="1"/>
  <c r="M36" i="1"/>
  <c r="L36" i="1"/>
  <c r="D36" i="1"/>
  <c r="D39" i="1" s="1"/>
  <c r="D40" i="1"/>
  <c r="T33" i="1"/>
  <c r="P33" i="1"/>
  <c r="T32" i="1"/>
  <c r="T29" i="1"/>
  <c r="P29" i="1"/>
  <c r="S29" i="1" s="1"/>
  <c r="V29" i="1" s="1"/>
  <c r="M29" i="1"/>
  <c r="L29" i="1"/>
  <c r="J29" i="1"/>
  <c r="H29" i="1"/>
  <c r="F29" i="1"/>
  <c r="D29" i="1"/>
  <c r="T28" i="1"/>
  <c r="P28" i="1"/>
  <c r="M28" i="1"/>
  <c r="L28" i="1"/>
  <c r="J28" i="1"/>
  <c r="H28" i="1"/>
  <c r="F28" i="1"/>
  <c r="F32" i="1" s="1"/>
  <c r="F33" i="1"/>
  <c r="D28" i="1"/>
  <c r="D32" i="1" s="1"/>
  <c r="T26" i="1"/>
  <c r="T25" i="1"/>
  <c r="T23" i="1"/>
  <c r="P23" i="1"/>
  <c r="R23" i="1" s="1"/>
  <c r="M23" i="1"/>
  <c r="L23" i="1"/>
  <c r="J23" i="1"/>
  <c r="H23" i="1"/>
  <c r="F23" i="1"/>
  <c r="D23" i="1"/>
  <c r="T22" i="1"/>
  <c r="P22" i="1"/>
  <c r="S22" i="1"/>
  <c r="M22" i="1"/>
  <c r="L22" i="1"/>
  <c r="J22" i="1"/>
  <c r="H22" i="1"/>
  <c r="F22" i="1"/>
  <c r="D22" i="1"/>
  <c r="T21" i="1"/>
  <c r="P21" i="1"/>
  <c r="S21" i="1" s="1"/>
  <c r="R21" i="1"/>
  <c r="M21" i="1"/>
  <c r="L21" i="1"/>
  <c r="J21" i="1"/>
  <c r="H21" i="1"/>
  <c r="F21" i="1"/>
  <c r="F25" i="1" s="1"/>
  <c r="F26" i="1" s="1"/>
  <c r="D21" i="1"/>
  <c r="D25" i="1" s="1"/>
  <c r="P19" i="1"/>
  <c r="T18" i="1"/>
  <c r="P18" i="1"/>
  <c r="T16" i="1"/>
  <c r="P16" i="1"/>
  <c r="M16" i="1"/>
  <c r="L16" i="1"/>
  <c r="J16" i="1"/>
  <c r="H16" i="1"/>
  <c r="F16" i="1"/>
  <c r="D16" i="1"/>
  <c r="T15" i="1"/>
  <c r="P15" i="1"/>
  <c r="S15" i="1"/>
  <c r="M15" i="1"/>
  <c r="L15" i="1"/>
  <c r="J15" i="1"/>
  <c r="H15" i="1"/>
  <c r="F15" i="1"/>
  <c r="D15" i="1"/>
  <c r="T14" i="1"/>
  <c r="P14" i="1"/>
  <c r="S14" i="1"/>
  <c r="M14" i="1"/>
  <c r="L14" i="1"/>
  <c r="J14" i="1"/>
  <c r="H14" i="1"/>
  <c r="F14" i="1"/>
  <c r="D14" i="1"/>
  <c r="T13" i="1"/>
  <c r="P13" i="1"/>
  <c r="S13" i="1" s="1"/>
  <c r="M13" i="1"/>
  <c r="L13" i="1"/>
  <c r="J13" i="1"/>
  <c r="H13" i="1"/>
  <c r="F13" i="1"/>
  <c r="D13" i="1"/>
  <c r="T12" i="1"/>
  <c r="P12" i="1"/>
  <c r="R12" i="1" s="1"/>
  <c r="M12" i="1"/>
  <c r="L12" i="1"/>
  <c r="J12" i="1"/>
  <c r="H12" i="1"/>
  <c r="F12" i="1"/>
  <c r="D12" i="1"/>
  <c r="T11" i="1"/>
  <c r="P11" i="1"/>
  <c r="S11" i="1"/>
  <c r="M11" i="1"/>
  <c r="L11" i="1"/>
  <c r="J11" i="1"/>
  <c r="H11" i="1"/>
  <c r="F11" i="1"/>
  <c r="D11" i="1"/>
  <c r="T10" i="1"/>
  <c r="P10" i="1"/>
  <c r="R10" i="1"/>
  <c r="M10" i="1"/>
  <c r="L10" i="1"/>
  <c r="J10" i="1"/>
  <c r="H10" i="1"/>
  <c r="F10" i="1"/>
  <c r="D10" i="1"/>
  <c r="T9" i="1"/>
  <c r="P9" i="1"/>
  <c r="S9" i="1" s="1"/>
  <c r="M9" i="1"/>
  <c r="L9" i="1"/>
  <c r="J9" i="1"/>
  <c r="H9" i="1"/>
  <c r="F9" i="1"/>
  <c r="D9" i="1"/>
  <c r="T8" i="1"/>
  <c r="P8" i="1"/>
  <c r="R8" i="1" s="1"/>
  <c r="M8" i="1"/>
  <c r="L8" i="1"/>
  <c r="J8" i="1"/>
  <c r="H8" i="1"/>
  <c r="F8" i="1"/>
  <c r="D8" i="1"/>
  <c r="T7" i="1"/>
  <c r="P7" i="1"/>
  <c r="S7" i="1"/>
  <c r="M7" i="1"/>
  <c r="L7" i="1"/>
  <c r="J7" i="1"/>
  <c r="H7" i="1"/>
  <c r="F7" i="1"/>
  <c r="D7" i="1"/>
  <c r="D19" i="1" s="1"/>
  <c r="T6" i="1"/>
  <c r="P6" i="1"/>
  <c r="R6" i="1"/>
  <c r="M6" i="1"/>
  <c r="L6" i="1"/>
  <c r="J6" i="1"/>
  <c r="H6" i="1"/>
  <c r="F6" i="1"/>
  <c r="F18" i="1" s="1"/>
  <c r="F19" i="1" s="1"/>
  <c r="D6" i="1"/>
  <c r="S72" i="1"/>
  <c r="R13" i="1"/>
  <c r="S23" i="1"/>
  <c r="F94" i="1"/>
  <c r="F95" i="1"/>
  <c r="S100" i="1"/>
  <c r="F66" i="1"/>
  <c r="S85" i="1"/>
  <c r="S109" i="1"/>
  <c r="D153" i="1"/>
  <c r="S59" i="1"/>
  <c r="R115" i="1"/>
  <c r="D47" i="1"/>
  <c r="S63" i="1"/>
  <c r="S150" i="1"/>
  <c r="S158" i="1"/>
  <c r="R149" i="1"/>
  <c r="R152" i="1" s="1"/>
  <c r="D66" i="1"/>
  <c r="R15" i="1"/>
  <c r="R57" i="1"/>
  <c r="R65" i="1" s="1"/>
  <c r="R61" i="1"/>
  <c r="S68" i="1"/>
  <c r="S80" i="1"/>
  <c r="R86" i="1"/>
  <c r="R98" i="1"/>
  <c r="R102" i="1"/>
  <c r="S10" i="1"/>
  <c r="D74" i="1"/>
  <c r="S70" i="1"/>
  <c r="D88" i="1"/>
  <c r="R81" i="1"/>
  <c r="S6" i="1"/>
  <c r="S12" i="1"/>
  <c r="R71" i="1"/>
  <c r="F87" i="1"/>
  <c r="F88" i="1"/>
  <c r="S82" i="1"/>
  <c r="R121" i="1"/>
  <c r="S136" i="1"/>
  <c r="R151" i="1"/>
  <c r="F155" i="1"/>
  <c r="F153" i="1"/>
  <c r="R97" i="1"/>
  <c r="S97" i="1"/>
  <c r="R101" i="1"/>
  <c r="S101" i="1"/>
  <c r="R108" i="1"/>
  <c r="S108" i="1"/>
  <c r="R22" i="1"/>
  <c r="R36" i="1"/>
  <c r="S36" i="1"/>
  <c r="V35" i="1" s="1"/>
  <c r="S64" i="1"/>
  <c r="R64" i="1"/>
  <c r="R69" i="1"/>
  <c r="R73" i="1" s="1"/>
  <c r="R135" i="1"/>
  <c r="R138" i="1" s="1"/>
  <c r="R11" i="1"/>
  <c r="F73" i="1"/>
  <c r="F74" i="1"/>
  <c r="R79" i="1"/>
  <c r="R87" i="1" s="1"/>
  <c r="R83" i="1"/>
  <c r="R91" i="1"/>
  <c r="D104" i="1"/>
  <c r="R99" i="1"/>
  <c r="S99" i="1"/>
  <c r="D118" i="1"/>
  <c r="R110" i="1"/>
  <c r="S110" i="1"/>
  <c r="R120" i="1"/>
  <c r="S120" i="1"/>
  <c r="S49" i="1"/>
  <c r="V49" i="1" s="1"/>
  <c r="R49" i="1"/>
  <c r="S60" i="1"/>
  <c r="R60" i="1"/>
  <c r="R7" i="1"/>
  <c r="S16" i="1"/>
  <c r="R16" i="1"/>
  <c r="R43" i="1"/>
  <c r="R46" i="1"/>
  <c r="S58" i="1"/>
  <c r="R58" i="1"/>
  <c r="S62" i="1"/>
  <c r="R62" i="1"/>
  <c r="F103" i="1"/>
  <c r="F104" i="1" s="1"/>
  <c r="F118" i="1"/>
  <c r="S141" i="1"/>
  <c r="V140" i="1" s="1"/>
  <c r="R141" i="1"/>
  <c r="L155" i="1"/>
  <c r="H155" i="1"/>
  <c r="R155" i="1"/>
  <c r="D155" i="1"/>
  <c r="R125" i="1"/>
  <c r="R25" i="1" l="1"/>
  <c r="V96" i="1"/>
  <c r="V119" i="1"/>
  <c r="V21" i="1"/>
  <c r="F126" i="1"/>
  <c r="D138" i="1"/>
  <c r="V132" i="1"/>
  <c r="R29" i="1"/>
  <c r="V67" i="1"/>
  <c r="S8" i="1"/>
  <c r="D18" i="1"/>
  <c r="F47" i="1"/>
  <c r="F54" i="1"/>
  <c r="D65" i="1"/>
  <c r="D73" i="1"/>
  <c r="D95" i="1"/>
  <c r="D103" i="1"/>
  <c r="D145" i="1"/>
  <c r="R9" i="1"/>
  <c r="R18" i="1" s="1"/>
  <c r="D26" i="1"/>
  <c r="D33" i="1"/>
  <c r="F65" i="1"/>
  <c r="D87" i="1"/>
  <c r="D126" i="1"/>
  <c r="F138" i="1"/>
  <c r="V6" i="1"/>
  <c r="V160" i="1" s="1"/>
  <c r="T2" i="1" s="1"/>
  <c r="V56" i="1"/>
  <c r="D152" i="1"/>
  <c r="D167" i="1" s="1"/>
  <c r="D168" i="1" s="1"/>
  <c r="F167" i="1"/>
  <c r="F168" i="1" s="1"/>
  <c r="D146" i="1"/>
</calcChain>
</file>

<file path=xl/sharedStrings.xml><?xml version="1.0" encoding="utf-8"?>
<sst xmlns="http://schemas.openxmlformats.org/spreadsheetml/2006/main" count="537" uniqueCount="153">
  <si>
    <t>POBLACIÓN</t>
  </si>
  <si>
    <t>MADRID</t>
  </si>
  <si>
    <t>VALENCIA</t>
  </si>
  <si>
    <t>ALCALA DE HENARES</t>
  </si>
  <si>
    <t>ALCOBENDAS</t>
  </si>
  <si>
    <t>BARCELONA</t>
  </si>
  <si>
    <t xml:space="preserve">BADALONA </t>
  </si>
  <si>
    <t>MOSTOLES</t>
  </si>
  <si>
    <t>FUENLABRADA</t>
  </si>
  <si>
    <t>GETAFE</t>
  </si>
  <si>
    <t xml:space="preserve">PARLA </t>
  </si>
  <si>
    <t xml:space="preserve">LEGANES </t>
  </si>
  <si>
    <t>TORREJÓN DE ARDOZ</t>
  </si>
  <si>
    <t xml:space="preserve">LERIDA </t>
  </si>
  <si>
    <t>SABADELL</t>
  </si>
  <si>
    <t>MATARO</t>
  </si>
  <si>
    <t>HOSPITALET DEL LLOBREGAT</t>
  </si>
  <si>
    <t>REUS</t>
  </si>
  <si>
    <t>SANTA COLOMA DE GRAMANET</t>
  </si>
  <si>
    <t>TARRAGONA</t>
  </si>
  <si>
    <t xml:space="preserve">GERONA </t>
  </si>
  <si>
    <t>SEGOVIA</t>
  </si>
  <si>
    <t xml:space="preserve">AVILA </t>
  </si>
  <si>
    <t>VALLADOLID</t>
  </si>
  <si>
    <t>SALAMANCA</t>
  </si>
  <si>
    <t xml:space="preserve">LEON </t>
  </si>
  <si>
    <t>ZAMORA</t>
  </si>
  <si>
    <t>SORIA</t>
  </si>
  <si>
    <t xml:space="preserve">BURGOS </t>
  </si>
  <si>
    <t>PALENCIA</t>
  </si>
  <si>
    <t>CASTELLON DE LA PLANA</t>
  </si>
  <si>
    <t>ELCHE</t>
  </si>
  <si>
    <t>LUGO</t>
  </si>
  <si>
    <t>SANTIAGO DE COMPOSTELA</t>
  </si>
  <si>
    <t>PONTEVEDRA</t>
  </si>
  <si>
    <t>CUENCA</t>
  </si>
  <si>
    <t>GUADALAJARA</t>
  </si>
  <si>
    <t>ALBACETE</t>
  </si>
  <si>
    <t>BILBAO</t>
  </si>
  <si>
    <t>SAN SEBASTÍAN</t>
  </si>
  <si>
    <t>PALMA DE MALLORCA</t>
  </si>
  <si>
    <t>SANTANDER</t>
  </si>
  <si>
    <t>HUESCA</t>
  </si>
  <si>
    <t>ZARAGOZA</t>
  </si>
  <si>
    <t>TERUEL</t>
  </si>
  <si>
    <t>MURCIA</t>
  </si>
  <si>
    <t>LOGROÑO</t>
  </si>
  <si>
    <t>VIGO</t>
  </si>
  <si>
    <t>OVIEDO</t>
  </si>
  <si>
    <t>CARTAGENA</t>
  </si>
  <si>
    <t>TELDE</t>
  </si>
  <si>
    <t>SANTA CRUZ DE TENERIFE</t>
  </si>
  <si>
    <t>LAS PALMAS DE GRAN CANARIA</t>
  </si>
  <si>
    <t>SAN CRISTOBAL DE LA LAGUNA</t>
  </si>
  <si>
    <t>MALAGA</t>
  </si>
  <si>
    <t xml:space="preserve">CORDOBA </t>
  </si>
  <si>
    <t>CADIZ</t>
  </si>
  <si>
    <t xml:space="preserve">DOS HERMANAS </t>
  </si>
  <si>
    <t xml:space="preserve">HUELVA </t>
  </si>
  <si>
    <t>ALMERIA</t>
  </si>
  <si>
    <t>GRANADA</t>
  </si>
  <si>
    <t>% SOBRE PTO</t>
  </si>
  <si>
    <t>https://presupuestos.gobierto.es/ranking/2016/G/functional/amount_per_inhabitant/1622?&amp;f[population][from]=50000&amp;f[population][to]=5000000&amp;f[total][from]=0&amp;f[total][to]=5000000000&amp;f[per_inhabitant][from]=0&amp;f[per_inhabitant][to]=20000</t>
  </si>
  <si>
    <t>GASTO/HAB.</t>
  </si>
  <si>
    <t>G. en gestión</t>
  </si>
  <si>
    <t>G. en tratamiento</t>
  </si>
  <si>
    <t>G. en recogida</t>
  </si>
  <si>
    <t>%</t>
  </si>
  <si>
    <t>GASTOS EN GESTION, RECOGIDA Y TRATAMIENTO DE RESIDUOS 2017</t>
  </si>
  <si>
    <t>GTO TOTAL en residuos</t>
  </si>
  <si>
    <t>COMPROBACIÓN</t>
  </si>
  <si>
    <t>GTO en residuos</t>
  </si>
  <si>
    <t>PTO DE GASTOS(MILL)</t>
  </si>
  <si>
    <t>TARRASSA</t>
  </si>
  <si>
    <t>G. en recogida de residuos</t>
  </si>
  <si>
    <t>G. en gestión RSU</t>
  </si>
  <si>
    <t>CASTILLA-LEON(9 AYUNT.)</t>
  </si>
  <si>
    <t xml:space="preserve"> ISLAS CANARIAS(4 AYUNT.)</t>
  </si>
  <si>
    <t>CASTILLA- LA MANCHA(5 AYUNT.)</t>
  </si>
  <si>
    <t>CATALUÑA(11 AYUNT)</t>
  </si>
  <si>
    <t>CÁCERES</t>
  </si>
  <si>
    <t>GALICIA(6 AYUNT)</t>
  </si>
  <si>
    <t>PAÍS VASCO(4 AYUNT.)</t>
  </si>
  <si>
    <t>C. VALENCIANA(4 AYUNT.)</t>
  </si>
  <si>
    <t>CEUTA</t>
  </si>
  <si>
    <t>MELILLA</t>
  </si>
  <si>
    <t>G. en gestión de RSU</t>
  </si>
  <si>
    <t>SEVILLA</t>
  </si>
  <si>
    <t xml:space="preserve">JEREZ DE LA FRONTERA </t>
  </si>
  <si>
    <t xml:space="preserve">MARBELLA </t>
  </si>
  <si>
    <t xml:space="preserve">JAEN </t>
  </si>
  <si>
    <t>https://serviciostelematicosext.minhap.gob.es/sgcal/presupuestos2017/aspx/Seleccion_consulta_publico.aspx</t>
  </si>
  <si>
    <t>ALICANTE</t>
  </si>
  <si>
    <t>LA CORUÑA</t>
  </si>
  <si>
    <t xml:space="preserve">TOLEDO </t>
  </si>
  <si>
    <t>BADAJOZ</t>
  </si>
  <si>
    <t>PARTIDA 162</t>
  </si>
  <si>
    <t>media</t>
  </si>
  <si>
    <t>media muestra</t>
  </si>
  <si>
    <t>ingresos por recogida</t>
  </si>
  <si>
    <t>PARTIDA 302</t>
  </si>
  <si>
    <t>partida 303</t>
  </si>
  <si>
    <t>ingresos por tratamiento</t>
  </si>
  <si>
    <t>302+303</t>
  </si>
  <si>
    <t>total 302+303</t>
  </si>
  <si>
    <t>TOTAL PTO DE INGRESOS</t>
  </si>
  <si>
    <t>VITORIA</t>
  </si>
  <si>
    <t>BARACALDO</t>
  </si>
  <si>
    <t>NO TASA</t>
  </si>
  <si>
    <t>MANCOMUNIDAD</t>
  </si>
  <si>
    <t xml:space="preserve">NO TASA </t>
  </si>
  <si>
    <t>INGR TOTAL/HAB</t>
  </si>
  <si>
    <t>ING RECOG/HAB</t>
  </si>
  <si>
    <t>media ing recog</t>
  </si>
  <si>
    <t>POBLACIÓN(1/1/17)</t>
  </si>
  <si>
    <t>ANDALUCIA(11 AYUNT.)</t>
  </si>
  <si>
    <t>MADRID(10 AYUT.)</t>
  </si>
  <si>
    <t>PAMPLONA</t>
  </si>
  <si>
    <t>ALCORCON</t>
  </si>
  <si>
    <t>GIJÓN (sin datos SEGÚN Mº)</t>
  </si>
  <si>
    <t>FUENTES DE DATOS:</t>
  </si>
  <si>
    <t>MINISTERIO DE HACIENDA Y FUNCION PUBLICA</t>
  </si>
  <si>
    <t>DATOS SOBRE PRESUPUESTOS:</t>
  </si>
  <si>
    <t>CALATAYUD</t>
  </si>
  <si>
    <t>AVILES</t>
  </si>
  <si>
    <t>LANGREO</t>
  </si>
  <si>
    <t>ARAGÓN(4 AYUNT.)</t>
  </si>
  <si>
    <t xml:space="preserve"> ASTURIAS(4 AYUNT.)</t>
  </si>
  <si>
    <t>IBIZA</t>
  </si>
  <si>
    <t>CALVIÁ</t>
  </si>
  <si>
    <t xml:space="preserve"> ISLAS BALEARES(3 AYUNT.)</t>
  </si>
  <si>
    <t xml:space="preserve"> CANTABRIA(4 AYUNT.)</t>
  </si>
  <si>
    <t>TORRELAVEGA</t>
  </si>
  <si>
    <t>CASTRO-URDIALES</t>
  </si>
  <si>
    <t>CAMARGO</t>
  </si>
  <si>
    <t>EXTREMADURA(4 AYUNT)</t>
  </si>
  <si>
    <t>MÉRIDA</t>
  </si>
  <si>
    <t>PLASENCIA</t>
  </si>
  <si>
    <t>MURCIA(4 AYUNT.)</t>
  </si>
  <si>
    <t>LORCA</t>
  </si>
  <si>
    <t>MOLINA DE SEGURA</t>
  </si>
  <si>
    <t>NAVARRA(3 AYUNT.)</t>
  </si>
  <si>
    <t>TUDELA</t>
  </si>
  <si>
    <t>BURLADA</t>
  </si>
  <si>
    <t>LA RIOJA(4 AYUNT.)</t>
  </si>
  <si>
    <t>CALAHORRA</t>
  </si>
  <si>
    <t>ARNEDO</t>
  </si>
  <si>
    <t>HARO</t>
  </si>
  <si>
    <t>MEDIA</t>
  </si>
  <si>
    <t>SIN DATOS</t>
  </si>
  <si>
    <t>NO DATOS</t>
  </si>
  <si>
    <t>ORENSE(prorogado 2016, sin datos según Mº)</t>
  </si>
  <si>
    <r>
      <t>CIUDAD REAL (</t>
    </r>
    <r>
      <rPr>
        <b/>
        <sz val="11"/>
        <rFont val="Calibri"/>
        <family val="2"/>
        <scheme val="minor"/>
      </rPr>
      <t>SIN DATOS SEGÚN Mº)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</si>
</sst>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0.000%"/>
    <numFmt numFmtId="167" formatCode="_-* #,##0\ &quot;€&quot;_-;\-* #,##0\ &quot;€&quot;_-;_-* &quot;-&quot;??\ &quot;€&quot;_-;_-@_-"/>
    <numFmt numFmtId="168" formatCode="#,##0.00\ &quot;€&quot;"/>
    <numFmt numFmtId="169" formatCode="#,##0\ &quot;€&quot;"/>
    <numFmt numFmtId="170" formatCode="0.0"/>
    <numFmt numFmtId="171" formatCode="_-* #,##0.0000\ _€_-;\-* #,##0.0000\ _€_-;_-* &quot;-&quot;??\ _€_-;_-@_-"/>
    <numFmt numFmtId="172" formatCode="0.0000%"/>
    <numFmt numFmtId="173" formatCode="0.0%"/>
    <numFmt numFmtId="174" formatCode="_-[$€-2]\ * #,##0_-;\-[$€-2]\ * #,##0_-;_-[$€-2]\ * &quot;-&quot;??_-;_-@_-"/>
    <numFmt numFmtId="175" formatCode="_-* #,##0.00\ [$€-C0A]_-;\-* #,##0.00\ [$€-C0A]_-;_-* &quot;-&quot;??\ [$€-C0A]_-;_-@_-"/>
    <numFmt numFmtId="176" formatCode="_-* #,##0\ [$€-C0A]_-;\-* #,##0\ [$€-C0A]_-;_-* &quot;-&quot;??\ [$€-C0A]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Arial"/>
      <family val="2"/>
    </font>
    <font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DFDFD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medium">
        <color indexed="55"/>
      </right>
      <top/>
      <bottom style="thin">
        <color indexed="2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9" fillId="0" borderId="0"/>
  </cellStyleXfs>
  <cellXfs count="205">
    <xf numFmtId="0" fontId="0" fillId="0" borderId="0" xfId="0"/>
    <xf numFmtId="0" fontId="3" fillId="0" borderId="0" xfId="0" applyFont="1"/>
    <xf numFmtId="164" fontId="0" fillId="0" borderId="0" xfId="1" applyFont="1"/>
    <xf numFmtId="165" fontId="0" fillId="0" borderId="0" xfId="1" applyNumberFormat="1" applyFont="1"/>
    <xf numFmtId="0" fontId="4" fillId="0" borderId="0" xfId="0" applyFont="1"/>
    <xf numFmtId="6" fontId="0" fillId="0" borderId="0" xfId="0" applyNumberFormat="1" applyAlignment="1">
      <alignment vertical="center" wrapText="1"/>
    </xf>
    <xf numFmtId="8" fontId="5" fillId="0" borderId="0" xfId="0" applyNumberFormat="1" applyFont="1" applyAlignment="1">
      <alignment vertical="center" wrapText="1"/>
    </xf>
    <xf numFmtId="6" fontId="5" fillId="0" borderId="0" xfId="0" applyNumberFormat="1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8" fontId="2" fillId="0" borderId="0" xfId="0" applyNumberFormat="1" applyFont="1" applyAlignment="1">
      <alignment vertical="center" wrapText="1"/>
    </xf>
    <xf numFmtId="6" fontId="2" fillId="0" borderId="0" xfId="0" applyNumberFormat="1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0" xfId="3" applyNumberFormat="1" applyFont="1"/>
    <xf numFmtId="10" fontId="0" fillId="0" borderId="0" xfId="3" applyNumberFormat="1" applyFont="1" applyAlignment="1">
      <alignment horizontal="center"/>
    </xf>
    <xf numFmtId="2" fontId="0" fillId="0" borderId="0" xfId="2" applyNumberFormat="1" applyFont="1" applyAlignment="1">
      <alignment horizontal="center"/>
    </xf>
    <xf numFmtId="6" fontId="6" fillId="0" borderId="0" xfId="0" applyNumberFormat="1" applyFont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167" fontId="0" fillId="0" borderId="0" xfId="0" applyNumberFormat="1"/>
    <xf numFmtId="169" fontId="0" fillId="0" borderId="0" xfId="0" applyNumberFormat="1"/>
    <xf numFmtId="169" fontId="0" fillId="0" borderId="0" xfId="0" applyNumberFormat="1" applyAlignment="1">
      <alignment horizontal="center"/>
    </xf>
    <xf numFmtId="169" fontId="2" fillId="0" borderId="0" xfId="0" applyNumberFormat="1" applyFont="1" applyAlignment="1">
      <alignment vertical="center" wrapText="1"/>
    </xf>
    <xf numFmtId="166" fontId="0" fillId="0" borderId="0" xfId="3" applyNumberFormat="1" applyFont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165" fontId="0" fillId="0" borderId="3" xfId="1" applyNumberFormat="1" applyFont="1" applyBorder="1"/>
    <xf numFmtId="8" fontId="4" fillId="0" borderId="4" xfId="0" applyNumberFormat="1" applyFont="1" applyBorder="1" applyAlignment="1">
      <alignment horizontal="center" vertical="center" wrapText="1"/>
    </xf>
    <xf numFmtId="164" fontId="0" fillId="0" borderId="3" xfId="1" applyFont="1" applyBorder="1"/>
    <xf numFmtId="0" fontId="4" fillId="0" borderId="4" xfId="0" applyFont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 vertical="center" wrapText="1"/>
    </xf>
    <xf numFmtId="169" fontId="6" fillId="0" borderId="0" xfId="0" applyNumberFormat="1" applyFont="1" applyAlignment="1">
      <alignment vertical="center" wrapText="1"/>
    </xf>
    <xf numFmtId="168" fontId="7" fillId="0" borderId="3" xfId="0" applyNumberFormat="1" applyFont="1" applyBorder="1"/>
    <xf numFmtId="0" fontId="4" fillId="0" borderId="4" xfId="0" applyFont="1" applyBorder="1"/>
    <xf numFmtId="0" fontId="4" fillId="2" borderId="0" xfId="0" applyFont="1" applyFill="1"/>
    <xf numFmtId="165" fontId="1" fillId="0" borderId="0" xfId="1" applyNumberFormat="1"/>
    <xf numFmtId="169" fontId="5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/>
    </xf>
    <xf numFmtId="169" fontId="0" fillId="0" borderId="0" xfId="0" applyNumberFormat="1" applyAlignment="1">
      <alignment vertical="center" wrapText="1"/>
    </xf>
    <xf numFmtId="10" fontId="1" fillId="0" borderId="0" xfId="3" applyNumberFormat="1" applyAlignment="1">
      <alignment horizontal="center"/>
    </xf>
    <xf numFmtId="165" fontId="1" fillId="0" borderId="0" xfId="1" applyNumberFormat="1" applyAlignment="1">
      <alignment horizontal="center"/>
    </xf>
    <xf numFmtId="0" fontId="7" fillId="0" borderId="0" xfId="0" applyFont="1"/>
    <xf numFmtId="168" fontId="7" fillId="0" borderId="0" xfId="0" applyNumberFormat="1" applyFont="1"/>
    <xf numFmtId="0" fontId="7" fillId="3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5" fontId="6" fillId="0" borderId="0" xfId="1" applyNumberFormat="1" applyFont="1"/>
    <xf numFmtId="6" fontId="6" fillId="0" borderId="0" xfId="0" applyNumberFormat="1" applyFont="1" applyAlignment="1">
      <alignment vertical="center" wrapText="1"/>
    </xf>
    <xf numFmtId="0" fontId="9" fillId="0" borderId="0" xfId="4"/>
    <xf numFmtId="170" fontId="0" fillId="0" borderId="0" xfId="0" applyNumberFormat="1" applyAlignment="1">
      <alignment horizontal="center" vertical="center" wrapText="1"/>
    </xf>
    <xf numFmtId="168" fontId="0" fillId="0" borderId="0" xfId="0" applyNumberFormat="1"/>
    <xf numFmtId="0" fontId="6" fillId="0" borderId="0" xfId="0" applyFont="1"/>
    <xf numFmtId="168" fontId="0" fillId="0" borderId="0" xfId="0" applyNumberFormat="1" applyAlignment="1">
      <alignment horizontal="center"/>
    </xf>
    <xf numFmtId="10" fontId="3" fillId="0" borderId="0" xfId="0" applyNumberFormat="1" applyFont="1" applyAlignment="1">
      <alignment horizontal="center"/>
    </xf>
    <xf numFmtId="166" fontId="1" fillId="0" borderId="0" xfId="3" applyNumberFormat="1" applyAlignment="1">
      <alignment horizontal="center"/>
    </xf>
    <xf numFmtId="168" fontId="11" fillId="0" borderId="0" xfId="1" applyNumberFormat="1" applyFont="1" applyAlignment="1">
      <alignment horizontal="center"/>
    </xf>
    <xf numFmtId="0" fontId="4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0" fillId="5" borderId="7" xfId="0" applyFill="1" applyBorder="1"/>
    <xf numFmtId="0" fontId="10" fillId="5" borderId="7" xfId="0" applyFont="1" applyFill="1" applyBorder="1"/>
    <xf numFmtId="0" fontId="3" fillId="5" borderId="7" xfId="0" applyFont="1" applyFill="1" applyBorder="1"/>
    <xf numFmtId="0" fontId="0" fillId="5" borderId="8" xfId="0" applyFill="1" applyBorder="1"/>
    <xf numFmtId="0" fontId="0" fillId="0" borderId="9" xfId="0" applyBorder="1"/>
    <xf numFmtId="6" fontId="0" fillId="0" borderId="0" xfId="0" applyNumberFormat="1" applyAlignment="1">
      <alignment horizontal="center"/>
    </xf>
    <xf numFmtId="172" fontId="0" fillId="0" borderId="0" xfId="3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166" fontId="3" fillId="0" borderId="10" xfId="3" applyNumberFormat="1" applyFont="1" applyBorder="1" applyAlignment="1">
      <alignment horizontal="center"/>
    </xf>
    <xf numFmtId="165" fontId="0" fillId="0" borderId="0" xfId="0" applyNumberFormat="1" applyAlignment="1">
      <alignment vertical="center" wrapText="1"/>
    </xf>
    <xf numFmtId="6" fontId="0" fillId="0" borderId="0" xfId="0" applyNumberFormat="1" applyAlignment="1">
      <alignment horizontal="center" vertical="center" wrapText="1"/>
    </xf>
    <xf numFmtId="6" fontId="0" fillId="0" borderId="0" xfId="1" applyNumberFormat="1" applyFont="1" applyAlignment="1">
      <alignment horizontal="center"/>
    </xf>
    <xf numFmtId="166" fontId="0" fillId="0" borderId="10" xfId="3" applyNumberFormat="1" applyFont="1" applyBorder="1" applyAlignment="1">
      <alignment horizontal="center"/>
    </xf>
    <xf numFmtId="167" fontId="0" fillId="0" borderId="0" xfId="0" applyNumberFormat="1" applyAlignment="1">
      <alignment horizontal="center" vertical="center" wrapText="1"/>
    </xf>
    <xf numFmtId="172" fontId="0" fillId="0" borderId="0" xfId="3" applyNumberFormat="1" applyFont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4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center"/>
    </xf>
    <xf numFmtId="168" fontId="11" fillId="0" borderId="5" xfId="1" applyNumberFormat="1" applyFont="1" applyBorder="1" applyAlignment="1">
      <alignment horizontal="center"/>
    </xf>
    <xf numFmtId="166" fontId="0" fillId="0" borderId="13" xfId="3" applyNumberFormat="1" applyFont="1" applyBorder="1" applyAlignment="1">
      <alignment horizontal="center"/>
    </xf>
    <xf numFmtId="169" fontId="0" fillId="0" borderId="0" xfId="1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11" fillId="0" borderId="0" xfId="1" applyNumberFormat="1" applyFont="1" applyAlignment="1">
      <alignment horizontal="center"/>
    </xf>
    <xf numFmtId="6" fontId="0" fillId="0" borderId="0" xfId="1" applyNumberFormat="1" applyFont="1" applyAlignment="1">
      <alignment horizontal="center" vertical="center" wrapText="1"/>
    </xf>
    <xf numFmtId="168" fontId="8" fillId="4" borderId="0" xfId="1" applyNumberFormat="1" applyFont="1" applyFill="1" applyAlignment="1">
      <alignment horizontal="center" vertical="center" wrapText="1"/>
    </xf>
    <xf numFmtId="168" fontId="3" fillId="4" borderId="0" xfId="0" applyNumberFormat="1" applyFont="1" applyFill="1"/>
    <xf numFmtId="168" fontId="3" fillId="4" borderId="0" xfId="0" applyNumberFormat="1" applyFont="1" applyFill="1" applyAlignment="1">
      <alignment horizontal="center"/>
    </xf>
    <xf numFmtId="169" fontId="15" fillId="4" borderId="14" xfId="7" applyNumberFormat="1" applyFont="1" applyFill="1" applyBorder="1" applyAlignment="1">
      <alignment horizontal="center" wrapText="1"/>
    </xf>
    <xf numFmtId="168" fontId="0" fillId="4" borderId="0" xfId="0" applyNumberFormat="1" applyFill="1" applyAlignment="1">
      <alignment horizontal="center"/>
    </xf>
    <xf numFmtId="4" fontId="0" fillId="4" borderId="0" xfId="0" applyNumberFormat="1" applyFill="1"/>
    <xf numFmtId="3" fontId="0" fillId="4" borderId="0" xfId="0" applyNumberFormat="1" applyFill="1" applyAlignment="1">
      <alignment horizontal="center"/>
    </xf>
    <xf numFmtId="168" fontId="0" fillId="4" borderId="0" xfId="0" applyNumberFormat="1" applyFill="1"/>
    <xf numFmtId="169" fontId="3" fillId="4" borderId="0" xfId="0" applyNumberFormat="1" applyFont="1" applyFill="1" applyAlignment="1">
      <alignment horizontal="center"/>
    </xf>
    <xf numFmtId="169" fontId="7" fillId="4" borderId="0" xfId="0" applyNumberFormat="1" applyFont="1" applyFill="1" applyAlignment="1">
      <alignment horizontal="center"/>
    </xf>
    <xf numFmtId="167" fontId="3" fillId="4" borderId="0" xfId="0" applyNumberFormat="1" applyFont="1" applyFill="1" applyAlignment="1">
      <alignment horizontal="center"/>
    </xf>
    <xf numFmtId="168" fontId="7" fillId="4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3" fillId="0" borderId="0" xfId="0" applyNumberFormat="1" applyFont="1"/>
    <xf numFmtId="0" fontId="7" fillId="6" borderId="0" xfId="0" applyFont="1" applyFill="1"/>
    <xf numFmtId="168" fontId="3" fillId="0" borderId="0" xfId="1" applyNumberFormat="1" applyFont="1" applyAlignment="1">
      <alignment horizontal="center"/>
    </xf>
    <xf numFmtId="2" fontId="0" fillId="0" borderId="0" xfId="0" applyNumberFormat="1"/>
    <xf numFmtId="168" fontId="2" fillId="0" borderId="0" xfId="0" applyNumberFormat="1" applyFont="1"/>
    <xf numFmtId="171" fontId="0" fillId="5" borderId="0" xfId="1" applyNumberFormat="1" applyFont="1" applyFill="1"/>
    <xf numFmtId="0" fontId="0" fillId="5" borderId="0" xfId="0" applyFill="1"/>
    <xf numFmtId="166" fontId="0" fillId="0" borderId="10" xfId="3" applyNumberFormat="1" applyFont="1" applyBorder="1" applyAlignment="1">
      <alignment horizontal="right"/>
    </xf>
    <xf numFmtId="166" fontId="0" fillId="0" borderId="0" xfId="0" applyNumberFormat="1"/>
    <xf numFmtId="0" fontId="2" fillId="0" borderId="0" xfId="0" applyFont="1"/>
    <xf numFmtId="168" fontId="4" fillId="0" borderId="3" xfId="0" applyNumberFormat="1" applyFont="1" applyBorder="1"/>
    <xf numFmtId="165" fontId="3" fillId="7" borderId="5" xfId="1" applyNumberFormat="1" applyFont="1" applyFill="1" applyBorder="1"/>
    <xf numFmtId="8" fontId="4" fillId="7" borderId="5" xfId="0" applyNumberFormat="1" applyFont="1" applyFill="1" applyBorder="1" applyAlignment="1">
      <alignment horizontal="center" vertical="center" wrapText="1"/>
    </xf>
    <xf numFmtId="165" fontId="0" fillId="7" borderId="0" xfId="1" applyNumberFormat="1" applyFont="1" applyFill="1"/>
    <xf numFmtId="8" fontId="4" fillId="7" borderId="0" xfId="0" applyNumberFormat="1" applyFont="1" applyFill="1" applyAlignment="1">
      <alignment horizontal="center" vertical="center" wrapText="1"/>
    </xf>
    <xf numFmtId="164" fontId="0" fillId="7" borderId="0" xfId="1" applyFont="1" applyFill="1"/>
    <xf numFmtId="2" fontId="4" fillId="7" borderId="0" xfId="0" applyNumberFormat="1" applyFont="1" applyFill="1"/>
    <xf numFmtId="164" fontId="0" fillId="7" borderId="0" xfId="1" applyFont="1" applyFill="1" applyAlignment="1">
      <alignment horizontal="center"/>
    </xf>
    <xf numFmtId="0" fontId="3" fillId="7" borderId="0" xfId="0" applyFont="1" applyFill="1"/>
    <xf numFmtId="8" fontId="4" fillId="7" borderId="0" xfId="0" applyNumberFormat="1" applyFont="1" applyFill="1" applyAlignment="1">
      <alignment horizontal="right" vertical="center" wrapText="1"/>
    </xf>
    <xf numFmtId="170" fontId="4" fillId="7" borderId="0" xfId="0" applyNumberFormat="1" applyFont="1" applyFill="1" applyAlignment="1">
      <alignment horizontal="right" vertical="center" wrapText="1"/>
    </xf>
    <xf numFmtId="2" fontId="4" fillId="7" borderId="0" xfId="0" applyNumberFormat="1" applyFont="1" applyFill="1" applyAlignment="1">
      <alignment horizontal="right"/>
    </xf>
    <xf numFmtId="0" fontId="2" fillId="0" borderId="9" xfId="0" applyFont="1" applyBorder="1"/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3" fillId="0" borderId="0" xfId="0" applyNumberFormat="1" applyFont="1"/>
    <xf numFmtId="0" fontId="3" fillId="8" borderId="0" xfId="0" applyFont="1" applyFill="1"/>
    <xf numFmtId="0" fontId="3" fillId="8" borderId="0" xfId="0" applyFont="1" applyFill="1" applyAlignment="1">
      <alignment horizontal="center"/>
    </xf>
    <xf numFmtId="0" fontId="0" fillId="8" borderId="0" xfId="0" applyFill="1"/>
    <xf numFmtId="174" fontId="0" fillId="0" borderId="0" xfId="0" applyNumberFormat="1"/>
    <xf numFmtId="175" fontId="0" fillId="0" borderId="0" xfId="1" applyNumberFormat="1" applyFont="1"/>
    <xf numFmtId="176" fontId="0" fillId="0" borderId="0" xfId="1" applyNumberFormat="1" applyFont="1"/>
    <xf numFmtId="175" fontId="0" fillId="0" borderId="0" xfId="0" applyNumberFormat="1"/>
    <xf numFmtId="2" fontId="0" fillId="5" borderId="0" xfId="1" applyNumberFormat="1" applyFont="1" applyFill="1"/>
    <xf numFmtId="2" fontId="0" fillId="5" borderId="0" xfId="0" applyNumberFormat="1" applyFill="1"/>
    <xf numFmtId="10" fontId="5" fillId="8" borderId="0" xfId="0" applyNumberFormat="1" applyFont="1" applyFill="1" applyAlignment="1">
      <alignment vertical="center" wrapText="1"/>
    </xf>
    <xf numFmtId="9" fontId="0" fillId="0" borderId="0" xfId="0" applyNumberFormat="1"/>
    <xf numFmtId="176" fontId="0" fillId="0" borderId="0" xfId="0" applyNumberFormat="1"/>
    <xf numFmtId="166" fontId="0" fillId="0" borderId="0" xfId="1" applyNumberFormat="1" applyFont="1"/>
    <xf numFmtId="168" fontId="4" fillId="4" borderId="0" xfId="0" applyNumberFormat="1" applyFont="1" applyFill="1" applyAlignment="1">
      <alignment horizontal="center"/>
    </xf>
    <xf numFmtId="168" fontId="4" fillId="4" borderId="0" xfId="0" applyNumberFormat="1" applyFont="1" applyFill="1"/>
    <xf numFmtId="2" fontId="18" fillId="0" borderId="0" xfId="2" applyNumberFormat="1" applyFont="1" applyAlignment="1">
      <alignment horizontal="center"/>
    </xf>
    <xf numFmtId="169" fontId="4" fillId="4" borderId="0" xfId="0" applyNumberFormat="1" applyFont="1" applyFill="1" applyAlignment="1">
      <alignment horizontal="center"/>
    </xf>
    <xf numFmtId="167" fontId="4" fillId="4" borderId="0" xfId="0" applyNumberFormat="1" applyFont="1" applyFill="1" applyAlignment="1">
      <alignment horizontal="center"/>
    </xf>
    <xf numFmtId="0" fontId="0" fillId="0" borderId="0" xfId="0" applyFont="1"/>
    <xf numFmtId="169" fontId="4" fillId="4" borderId="14" xfId="7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169" fontId="4" fillId="4" borderId="0" xfId="1" applyNumberFormat="1" applyFont="1" applyFill="1"/>
    <xf numFmtId="168" fontId="2" fillId="4" borderId="0" xfId="0" applyNumberFormat="1" applyFont="1" applyFill="1"/>
    <xf numFmtId="6" fontId="3" fillId="7" borderId="5" xfId="0" applyNumberFormat="1" applyFont="1" applyFill="1" applyBorder="1" applyAlignment="1">
      <alignment vertical="center" wrapText="1"/>
    </xf>
    <xf numFmtId="166" fontId="3" fillId="7" borderId="5" xfId="3" applyNumberFormat="1" applyFont="1" applyFill="1" applyBorder="1" applyAlignment="1">
      <alignment horizontal="center" vertical="center" wrapText="1"/>
    </xf>
    <xf numFmtId="6" fontId="3" fillId="7" borderId="0" xfId="0" applyNumberFormat="1" applyFont="1" applyFill="1" applyAlignment="1">
      <alignment vertical="center" wrapText="1"/>
    </xf>
    <xf numFmtId="10" fontId="3" fillId="7" borderId="0" xfId="0" applyNumberFormat="1" applyFont="1" applyFill="1" applyAlignment="1">
      <alignment horizontal="center" vertical="center" wrapText="1"/>
    </xf>
    <xf numFmtId="6" fontId="0" fillId="7" borderId="0" xfId="0" applyNumberFormat="1" applyFill="1" applyAlignment="1">
      <alignment vertical="center" wrapText="1"/>
    </xf>
    <xf numFmtId="10" fontId="0" fillId="7" borderId="0" xfId="3" applyNumberFormat="1" applyFont="1" applyFill="1" applyAlignment="1">
      <alignment vertical="center" wrapText="1"/>
    </xf>
    <xf numFmtId="10" fontId="0" fillId="7" borderId="0" xfId="0" applyNumberFormat="1" applyFill="1" applyAlignment="1">
      <alignment horizontal="center"/>
    </xf>
    <xf numFmtId="169" fontId="3" fillId="7" borderId="0" xfId="0" applyNumberFormat="1" applyFont="1" applyFill="1"/>
    <xf numFmtId="10" fontId="3" fillId="7" borderId="0" xfId="3" applyNumberFormat="1" applyFont="1" applyFill="1" applyAlignment="1">
      <alignment horizontal="center"/>
    </xf>
    <xf numFmtId="10" fontId="3" fillId="7" borderId="0" xfId="0" applyNumberFormat="1" applyFont="1" applyFill="1" applyAlignment="1">
      <alignment horizontal="center"/>
    </xf>
    <xf numFmtId="10" fontId="1" fillId="7" borderId="0" xfId="3" applyNumberFormat="1" applyFill="1" applyAlignment="1">
      <alignment horizontal="center"/>
    </xf>
    <xf numFmtId="169" fontId="0" fillId="7" borderId="0" xfId="0" applyNumberFormat="1" applyFill="1"/>
    <xf numFmtId="6" fontId="7" fillId="7" borderId="0" xfId="0" applyNumberFormat="1" applyFont="1" applyFill="1" applyAlignment="1">
      <alignment horizontal="center" vertical="center" wrapText="1"/>
    </xf>
    <xf numFmtId="10" fontId="7" fillId="7" borderId="0" xfId="0" applyNumberFormat="1" applyFont="1" applyFill="1" applyAlignment="1">
      <alignment horizontal="center" vertical="center" wrapText="1"/>
    </xf>
    <xf numFmtId="0" fontId="10" fillId="3" borderId="0" xfId="0" applyFont="1" applyFill="1"/>
    <xf numFmtId="164" fontId="10" fillId="3" borderId="0" xfId="1" applyFont="1" applyFill="1"/>
    <xf numFmtId="0" fontId="17" fillId="3" borderId="0" xfId="0" applyFont="1" applyFill="1"/>
    <xf numFmtId="10" fontId="10" fillId="3" borderId="0" xfId="0" applyNumberFormat="1" applyFont="1" applyFill="1" applyAlignment="1">
      <alignment horizontal="center"/>
    </xf>
    <xf numFmtId="0" fontId="16" fillId="3" borderId="0" xfId="0" applyFont="1" applyFill="1"/>
    <xf numFmtId="166" fontId="16" fillId="3" borderId="0" xfId="0" applyNumberFormat="1" applyFont="1" applyFill="1"/>
    <xf numFmtId="2" fontId="1" fillId="0" borderId="0" xfId="2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72" fontId="1" fillId="0" borderId="0" xfId="3" applyNumberFormat="1" applyFont="1" applyAlignment="1">
      <alignment horizontal="center"/>
    </xf>
    <xf numFmtId="4" fontId="0" fillId="0" borderId="0" xfId="0" applyNumberFormat="1"/>
    <xf numFmtId="3" fontId="0" fillId="0" borderId="0" xfId="0" applyNumberFormat="1"/>
    <xf numFmtId="165" fontId="0" fillId="3" borderId="0" xfId="1" applyNumberFormat="1" applyFont="1" applyFill="1"/>
    <xf numFmtId="8" fontId="4" fillId="3" borderId="0" xfId="0" applyNumberFormat="1" applyFont="1" applyFill="1" applyAlignment="1">
      <alignment horizontal="right" vertical="center" wrapText="1"/>
    </xf>
    <xf numFmtId="6" fontId="0" fillId="3" borderId="0" xfId="0" applyNumberFormat="1" applyFill="1" applyAlignment="1">
      <alignment vertical="center" wrapText="1"/>
    </xf>
    <xf numFmtId="10" fontId="0" fillId="3" borderId="0" xfId="3" applyNumberFormat="1" applyFont="1" applyFill="1" applyAlignment="1">
      <alignment vertical="center" wrapText="1"/>
    </xf>
    <xf numFmtId="10" fontId="0" fillId="0" borderId="0" xfId="3" applyNumberFormat="1" applyFont="1"/>
    <xf numFmtId="2" fontId="0" fillId="0" borderId="0" xfId="0" applyNumberFormat="1" applyAlignment="1">
      <alignment horizontal="center"/>
    </xf>
    <xf numFmtId="169" fontId="4" fillId="0" borderId="0" xfId="1" applyNumberFormat="1" applyFont="1" applyAlignment="1">
      <alignment horizontal="center"/>
    </xf>
    <xf numFmtId="2" fontId="2" fillId="0" borderId="0" xfId="0" applyNumberFormat="1" applyFont="1"/>
    <xf numFmtId="168" fontId="4" fillId="0" borderId="0" xfId="1" applyNumberFormat="1" applyFont="1" applyAlignment="1">
      <alignment horizontal="center"/>
    </xf>
    <xf numFmtId="4" fontId="2" fillId="0" borderId="0" xfId="0" applyNumberFormat="1" applyFont="1"/>
    <xf numFmtId="2" fontId="4" fillId="0" borderId="4" xfId="0" applyNumberFormat="1" applyFont="1" applyBorder="1"/>
    <xf numFmtId="170" fontId="4" fillId="0" borderId="4" xfId="0" applyNumberFormat="1" applyFont="1" applyBorder="1"/>
    <xf numFmtId="0" fontId="7" fillId="9" borderId="0" xfId="0" applyFont="1" applyFill="1" applyAlignment="1">
      <alignment horizontal="center"/>
    </xf>
    <xf numFmtId="170" fontId="4" fillId="0" borderId="0" xfId="0" applyNumberFormat="1" applyFont="1" applyAlignment="1">
      <alignment horizontal="center" vertical="center" wrapText="1"/>
    </xf>
    <xf numFmtId="170" fontId="3" fillId="9" borderId="0" xfId="0" applyNumberFormat="1" applyFont="1" applyFill="1"/>
    <xf numFmtId="0" fontId="3" fillId="9" borderId="0" xfId="0" applyFont="1" applyFill="1"/>
    <xf numFmtId="173" fontId="3" fillId="0" borderId="0" xfId="3" applyNumberFormat="1" applyFont="1" applyAlignment="1">
      <alignment horizontal="center"/>
    </xf>
    <xf numFmtId="10" fontId="0" fillId="0" borderId="0" xfId="0" applyNumberFormat="1" applyAlignment="1">
      <alignment horizontal="center" vertical="center" wrapText="1"/>
    </xf>
    <xf numFmtId="10" fontId="0" fillId="0" borderId="0" xfId="3" applyNumberFormat="1" applyFont="1" applyAlignment="1">
      <alignment horizontal="center" vertical="center" wrapText="1"/>
    </xf>
    <xf numFmtId="10" fontId="0" fillId="7" borderId="0" xfId="3" applyNumberFormat="1" applyFont="1" applyFill="1" applyAlignment="1">
      <alignment horizontal="center" vertical="center" wrapText="1"/>
    </xf>
    <xf numFmtId="173" fontId="0" fillId="0" borderId="0" xfId="0" applyNumberFormat="1"/>
    <xf numFmtId="164" fontId="0" fillId="9" borderId="2" xfId="1" applyFont="1" applyFill="1" applyBorder="1"/>
    <xf numFmtId="0" fontId="0" fillId="9" borderId="3" xfId="0" applyFill="1" applyBorder="1"/>
    <xf numFmtId="0" fontId="0" fillId="0" borderId="3" xfId="0" applyBorder="1"/>
    <xf numFmtId="166" fontId="0" fillId="9" borderId="4" xfId="3" applyNumberFormat="1" applyFont="1" applyFill="1" applyBorder="1" applyAlignment="1">
      <alignment horizontal="center"/>
    </xf>
    <xf numFmtId="170" fontId="18" fillId="0" borderId="0" xfId="0" applyNumberFormat="1" applyFont="1" applyAlignment="1">
      <alignment horizontal="center" vertical="center" wrapText="1"/>
    </xf>
    <xf numFmtId="170" fontId="20" fillId="0" borderId="0" xfId="0" applyNumberFormat="1" applyFont="1" applyAlignment="1">
      <alignment horizontal="center" vertical="center" wrapText="1"/>
    </xf>
  </cellXfs>
  <cellStyles count="9">
    <cellStyle name="Hipervínculo" xfId="4" builtinId="8"/>
    <cellStyle name="Hipervínculo 2" xfId="6" xr:uid="{00000000-0005-0000-0000-000001000000}"/>
    <cellStyle name="Millares" xfId="1" builtinId="3"/>
    <cellStyle name="Moneda" xfId="2" builtinId="4"/>
    <cellStyle name="Normal" xfId="0" builtinId="0"/>
    <cellStyle name="Normal 2" xfId="5" xr:uid="{00000000-0005-0000-0000-000005000000}"/>
    <cellStyle name="Normal 3" xfId="8" xr:uid="{00000000-0005-0000-0000-000006000000}"/>
    <cellStyle name="Normal_Entidades locales" xfId="7" xr:uid="{00000000-0005-0000-0000-000007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1262592</xdr:colOff>
          <xdr:row>12</xdr:row>
          <xdr:rowOff>178858</xdr:rowOff>
        </xdr:from>
        <xdr:to>
          <xdr:col>14</xdr:col>
          <xdr:colOff>1462617</xdr:colOff>
          <xdr:row>14</xdr:row>
          <xdr:rowOff>7408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s://presupuestos.gobierto.es/ranking/2016/G/functional/amount_per_inhabitant/1622?&amp;f%5bpopulation%5d%5bfrom%5d=50000&amp;f%5bpopulation%5d%5bto%5d=5000000&amp;f%5btotal%5d%5bfrom%5d=0&amp;f%5btotal%5d%5bto%5d=5000000000&amp;f%5bper_inhabitant%5d%5bfrom%5d=0&amp;f%5bper_inhabitant%5d%5bto%5d=20000" TargetMode="External"/><Relationship Id="rId1" Type="http://schemas.openxmlformats.org/officeDocument/2006/relationships/hyperlink" Target="https://serviciostelematicosext.minhap.gob.es/sgcal/presupuestos2017/aspx/Seleccion_consulta_publico.aspx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V168"/>
  <sheetViews>
    <sheetView tabSelected="1" topLeftCell="A64" zoomScale="90" zoomScaleNormal="90" workbookViewId="0">
      <selection activeCell="A79" sqref="A79"/>
    </sheetView>
  </sheetViews>
  <sheetFormatPr baseColWidth="10" defaultRowHeight="15" x14ac:dyDescent="0.25"/>
  <cols>
    <col min="1" max="1" width="33.140625" customWidth="1"/>
    <col min="2" max="2" width="20.140625" customWidth="1"/>
    <col min="3" max="3" width="18.5703125" customWidth="1"/>
    <col min="4" max="4" width="15.140625" customWidth="1"/>
    <col min="5" max="5" width="17.5703125" customWidth="1"/>
    <col min="6" max="6" width="19.5703125" customWidth="1"/>
    <col min="7" max="7" width="16" customWidth="1"/>
    <col min="8" max="8" width="9.85546875" customWidth="1"/>
    <col min="9" max="9" width="13.5703125" customWidth="1"/>
    <col min="10" max="10" width="12.7109375" customWidth="1"/>
    <col min="11" max="11" width="16.140625" customWidth="1"/>
    <col min="12" max="12" width="9.28515625" customWidth="1"/>
    <col min="13" max="13" width="16.5703125" customWidth="1"/>
    <col min="14" max="14" width="22.140625" customWidth="1"/>
    <col min="15" max="15" width="25.5703125" customWidth="1"/>
    <col min="16" max="16" width="17.28515625" customWidth="1"/>
    <col min="17" max="17" width="22.7109375" customWidth="1"/>
    <col min="18" max="18" width="17.28515625" customWidth="1"/>
    <col min="19" max="19" width="19.140625" customWidth="1"/>
    <col min="20" max="20" width="15.7109375" customWidth="1"/>
    <col min="23" max="23" width="15.85546875" customWidth="1"/>
  </cols>
  <sheetData>
    <row r="1" spans="1:22" x14ac:dyDescent="0.25">
      <c r="A1" s="52"/>
      <c r="K1" s="52"/>
      <c r="S1" s="190" t="s">
        <v>148</v>
      </c>
    </row>
    <row r="2" spans="1:22" x14ac:dyDescent="0.25">
      <c r="A2" s="52"/>
      <c r="S2" s="190">
        <v>56.5</v>
      </c>
      <c r="T2">
        <f>(V160/70)</f>
        <v>56.511697361081914</v>
      </c>
    </row>
    <row r="3" spans="1:22" x14ac:dyDescent="0.25">
      <c r="D3" s="12" t="s">
        <v>68</v>
      </c>
      <c r="E3" s="12"/>
      <c r="F3" s="12"/>
      <c r="G3" s="12"/>
      <c r="H3" s="12"/>
      <c r="I3" s="12"/>
      <c r="J3" s="12"/>
      <c r="K3" s="12"/>
    </row>
    <row r="4" spans="1:22" x14ac:dyDescent="0.25">
      <c r="A4" s="36"/>
      <c r="D4" s="12"/>
      <c r="E4" s="12" t="s">
        <v>96</v>
      </c>
      <c r="F4" s="12"/>
      <c r="G4" s="12">
        <v>1621</v>
      </c>
      <c r="H4" s="12"/>
      <c r="I4" s="12">
        <v>1622</v>
      </c>
      <c r="J4" s="12"/>
      <c r="K4" s="12">
        <v>1623</v>
      </c>
      <c r="N4" t="s">
        <v>100</v>
      </c>
      <c r="O4" t="s">
        <v>101</v>
      </c>
      <c r="P4" t="s">
        <v>103</v>
      </c>
    </row>
    <row r="5" spans="1:22" ht="15.75" x14ac:dyDescent="0.25">
      <c r="A5" s="60" t="s">
        <v>115</v>
      </c>
      <c r="B5" s="61" t="s">
        <v>72</v>
      </c>
      <c r="C5" s="62" t="s">
        <v>114</v>
      </c>
      <c r="D5" s="61" t="s">
        <v>63</v>
      </c>
      <c r="E5" s="61" t="s">
        <v>71</v>
      </c>
      <c r="F5" s="61" t="s">
        <v>61</v>
      </c>
      <c r="G5" s="61" t="s">
        <v>66</v>
      </c>
      <c r="H5" s="62" t="s">
        <v>67</v>
      </c>
      <c r="I5" s="61" t="s">
        <v>86</v>
      </c>
      <c r="J5" s="62" t="s">
        <v>67</v>
      </c>
      <c r="K5" s="61" t="s">
        <v>65</v>
      </c>
      <c r="L5" s="62" t="s">
        <v>67</v>
      </c>
      <c r="M5" s="61" t="s">
        <v>70</v>
      </c>
      <c r="N5" s="63" t="s">
        <v>99</v>
      </c>
      <c r="O5" s="63" t="s">
        <v>102</v>
      </c>
      <c r="P5" s="64" t="s">
        <v>104</v>
      </c>
      <c r="Q5" s="65" t="s">
        <v>105</v>
      </c>
      <c r="R5" s="66" t="s">
        <v>61</v>
      </c>
      <c r="S5" s="107" t="s">
        <v>111</v>
      </c>
      <c r="T5" s="108" t="s">
        <v>112</v>
      </c>
    </row>
    <row r="6" spans="1:22" x14ac:dyDescent="0.25">
      <c r="A6" s="67" t="s">
        <v>87</v>
      </c>
      <c r="B6" s="143">
        <v>815253708</v>
      </c>
      <c r="C6" s="36">
        <v>689434</v>
      </c>
      <c r="D6" s="173">
        <f>(E6/C6)</f>
        <v>63.928687880203178</v>
      </c>
      <c r="E6" s="174">
        <v>44074611</v>
      </c>
      <c r="F6" s="175">
        <f>(E6/B6)</f>
        <v>5.4062447760127204E-2</v>
      </c>
      <c r="G6" s="70">
        <v>43701486</v>
      </c>
      <c r="H6" s="14">
        <f t="shared" ref="H6:H16" si="0">(G6/E6)</f>
        <v>0.99153424178831662</v>
      </c>
      <c r="I6" s="85">
        <v>373125</v>
      </c>
      <c r="J6" s="14">
        <f t="shared" ref="J6:J16" si="1">(I6/E6)</f>
        <v>8.4657582116833656E-3</v>
      </c>
      <c r="K6" s="68">
        <v>0</v>
      </c>
      <c r="L6" s="15">
        <f t="shared" ref="L6:L16" si="2">(K6/E6)</f>
        <v>0</v>
      </c>
      <c r="M6" s="19">
        <f t="shared" ref="M6:M16" si="3">G6+I6+K6</f>
        <v>44074611</v>
      </c>
      <c r="N6" s="86">
        <v>39652309.18</v>
      </c>
      <c r="O6" s="21">
        <v>0</v>
      </c>
      <c r="P6" s="87">
        <f>(N6+O6)</f>
        <v>39652309.18</v>
      </c>
      <c r="Q6" s="93">
        <v>864015949.78999996</v>
      </c>
      <c r="R6" s="71">
        <f>(P6/Q6)</f>
        <v>4.5893029161831488E-2</v>
      </c>
      <c r="S6" s="105">
        <f t="shared" ref="S6:S16" si="4">(P6/C6)</f>
        <v>57.514293144811539</v>
      </c>
      <c r="T6" s="105">
        <f t="shared" ref="T6:T16" si="5">(N6/C6)</f>
        <v>57.514293144811539</v>
      </c>
      <c r="V6" s="105">
        <f>(S6+S8+S9+S10+S11+S13+S14+S15+S16)</f>
        <v>563.6191694881519</v>
      </c>
    </row>
    <row r="7" spans="1:22" ht="15.75" thickBot="1" x14ac:dyDescent="0.3">
      <c r="A7" s="67" t="s">
        <v>54</v>
      </c>
      <c r="B7" s="143">
        <v>596325592</v>
      </c>
      <c r="C7" s="72">
        <v>569002</v>
      </c>
      <c r="D7" s="16">
        <f t="shared" ref="D7:D16" si="6">(E7/C7)</f>
        <v>82.322970745269785</v>
      </c>
      <c r="E7" s="73">
        <v>46841935</v>
      </c>
      <c r="F7" s="175">
        <f>(E7/B7)</f>
        <v>7.8550938662380942E-2</v>
      </c>
      <c r="G7" s="18">
        <v>29921359</v>
      </c>
      <c r="H7" s="14">
        <f t="shared" si="0"/>
        <v>0.63877290722511781</v>
      </c>
      <c r="I7" s="85">
        <v>0</v>
      </c>
      <c r="J7" s="14">
        <f t="shared" si="1"/>
        <v>0</v>
      </c>
      <c r="K7" s="74">
        <v>16920576</v>
      </c>
      <c r="L7" s="15">
        <f t="shared" si="2"/>
        <v>0.36122709277488219</v>
      </c>
      <c r="M7" s="19">
        <f t="shared" si="3"/>
        <v>46841935</v>
      </c>
      <c r="N7" s="86">
        <v>5179000</v>
      </c>
      <c r="O7" s="21">
        <v>1150000</v>
      </c>
      <c r="P7" s="87">
        <f t="shared" ref="P7:P79" si="7">(N7+O7)</f>
        <v>6329000</v>
      </c>
      <c r="Q7" s="91">
        <v>615139233.63999999</v>
      </c>
      <c r="R7" s="71">
        <f>(P7/Q7)</f>
        <v>1.0288727582126459E-2</v>
      </c>
      <c r="S7" s="185">
        <f t="shared" si="4"/>
        <v>11.122983750496484</v>
      </c>
      <c r="T7" s="105">
        <f t="shared" si="5"/>
        <v>9.1019012235457879</v>
      </c>
      <c r="V7" s="105"/>
    </row>
    <row r="8" spans="1:22" x14ac:dyDescent="0.25">
      <c r="A8" s="67" t="s">
        <v>55</v>
      </c>
      <c r="B8" s="143">
        <v>302269333</v>
      </c>
      <c r="C8" s="72">
        <v>325916</v>
      </c>
      <c r="D8" s="145">
        <f t="shared" si="6"/>
        <v>115.40542348335154</v>
      </c>
      <c r="E8" s="73">
        <v>37612474</v>
      </c>
      <c r="F8" s="69">
        <f>(E8/B8)</f>
        <v>0.1244336420989158</v>
      </c>
      <c r="G8" s="70">
        <v>37012474</v>
      </c>
      <c r="H8" s="14">
        <f t="shared" si="0"/>
        <v>0.98404784540362855</v>
      </c>
      <c r="I8" s="85">
        <v>0</v>
      </c>
      <c r="J8" s="14">
        <f t="shared" si="1"/>
        <v>0</v>
      </c>
      <c r="K8" s="74">
        <v>600000</v>
      </c>
      <c r="L8" s="15">
        <f t="shared" si="2"/>
        <v>1.5952154596371407E-2</v>
      </c>
      <c r="M8" s="19">
        <f t="shared" si="3"/>
        <v>37612474</v>
      </c>
      <c r="N8" s="86">
        <v>19278000</v>
      </c>
      <c r="O8" s="21">
        <v>0</v>
      </c>
      <c r="P8" s="87">
        <f t="shared" si="7"/>
        <v>19278000</v>
      </c>
      <c r="Q8" s="95">
        <v>310166237.29000002</v>
      </c>
      <c r="R8" s="75">
        <f t="shared" ref="R8:R79" si="8">(P8/Q8)</f>
        <v>6.2153766858819667E-2</v>
      </c>
      <c r="S8" s="105">
        <f t="shared" si="4"/>
        <v>59.150210483682912</v>
      </c>
      <c r="T8" s="105">
        <f t="shared" si="5"/>
        <v>59.150210483682912</v>
      </c>
    </row>
    <row r="9" spans="1:22" x14ac:dyDescent="0.25">
      <c r="A9" s="67" t="s">
        <v>60</v>
      </c>
      <c r="B9" s="143">
        <v>251485740</v>
      </c>
      <c r="C9" s="72">
        <v>232770</v>
      </c>
      <c r="D9" s="16">
        <f t="shared" si="6"/>
        <v>100.1197619968209</v>
      </c>
      <c r="E9" s="73">
        <v>23304877</v>
      </c>
      <c r="F9" s="69">
        <f>(E9/B9)</f>
        <v>9.2668781140433643E-2</v>
      </c>
      <c r="G9" s="70">
        <v>22131028</v>
      </c>
      <c r="H9" s="14">
        <f t="shared" si="0"/>
        <v>0.94963075754486925</v>
      </c>
      <c r="I9" s="85">
        <v>1173850</v>
      </c>
      <c r="J9" s="14">
        <f t="shared" si="1"/>
        <v>5.0369285364604152E-2</v>
      </c>
      <c r="K9" s="88">
        <v>0</v>
      </c>
      <c r="L9" s="15">
        <f t="shared" si="2"/>
        <v>0</v>
      </c>
      <c r="M9" s="19">
        <f t="shared" si="3"/>
        <v>23304878</v>
      </c>
      <c r="N9" s="86">
        <v>21431247.93</v>
      </c>
      <c r="O9" s="21">
        <v>0</v>
      </c>
      <c r="P9" s="87">
        <f t="shared" si="7"/>
        <v>21431247.93</v>
      </c>
      <c r="Q9" s="91">
        <v>251679910.18000001</v>
      </c>
      <c r="R9" s="75">
        <f t="shared" si="8"/>
        <v>8.5152795527749889E-2</v>
      </c>
      <c r="S9" s="105">
        <f t="shared" si="4"/>
        <v>92.070489882716842</v>
      </c>
      <c r="T9" s="105">
        <f t="shared" si="5"/>
        <v>92.070489882716842</v>
      </c>
      <c r="V9" s="105"/>
    </row>
    <row r="10" spans="1:22" x14ac:dyDescent="0.25">
      <c r="A10" s="67" t="s">
        <v>88</v>
      </c>
      <c r="B10" s="143">
        <v>243761250</v>
      </c>
      <c r="C10" s="36">
        <v>212915</v>
      </c>
      <c r="D10" s="16">
        <f t="shared" si="6"/>
        <v>68.658347227766953</v>
      </c>
      <c r="E10" s="73">
        <v>14618392</v>
      </c>
      <c r="F10" s="69">
        <f>(E10/B10)</f>
        <v>5.9970122404606967E-2</v>
      </c>
      <c r="G10" s="70">
        <v>9865000</v>
      </c>
      <c r="H10" s="14">
        <f t="shared" si="0"/>
        <v>0.67483482451421473</v>
      </c>
      <c r="I10" s="85">
        <v>0</v>
      </c>
      <c r="J10" s="14">
        <f t="shared" si="1"/>
        <v>0</v>
      </c>
      <c r="K10" s="88">
        <v>4753392</v>
      </c>
      <c r="L10" s="15">
        <f t="shared" si="2"/>
        <v>0.32516517548578533</v>
      </c>
      <c r="M10" s="19">
        <f t="shared" si="3"/>
        <v>14618392</v>
      </c>
      <c r="N10" s="86">
        <v>16814820.690000001</v>
      </c>
      <c r="O10" s="21">
        <v>0</v>
      </c>
      <c r="P10" s="87">
        <f t="shared" si="7"/>
        <v>16814820.690000001</v>
      </c>
      <c r="Q10" s="93">
        <v>265230044.15000001</v>
      </c>
      <c r="R10" s="75">
        <f t="shared" si="8"/>
        <v>6.3397119070305749E-2</v>
      </c>
      <c r="S10" s="105">
        <f t="shared" si="4"/>
        <v>78.974335720827568</v>
      </c>
      <c r="T10" s="105">
        <f t="shared" si="5"/>
        <v>78.974335720827568</v>
      </c>
      <c r="V10">
        <v>9</v>
      </c>
    </row>
    <row r="11" spans="1:22" x14ac:dyDescent="0.25">
      <c r="A11" s="67" t="s">
        <v>59</v>
      </c>
      <c r="B11" s="144">
        <v>175416593</v>
      </c>
      <c r="C11" s="72">
        <v>195389</v>
      </c>
      <c r="D11" s="16">
        <f t="shared" si="6"/>
        <v>60.655451432782804</v>
      </c>
      <c r="E11" s="73">
        <v>11851408</v>
      </c>
      <c r="F11" s="69">
        <f>(E11/Q11)</f>
        <v>6.7246906448051008E-2</v>
      </c>
      <c r="G11" s="70">
        <v>8101625</v>
      </c>
      <c r="H11" s="14">
        <f t="shared" si="0"/>
        <v>0.68360021020287209</v>
      </c>
      <c r="I11" s="85">
        <v>0</v>
      </c>
      <c r="J11" s="14">
        <f t="shared" si="1"/>
        <v>0</v>
      </c>
      <c r="K11" s="74">
        <v>3749783</v>
      </c>
      <c r="L11" s="15">
        <f t="shared" si="2"/>
        <v>0.31639978979712791</v>
      </c>
      <c r="M11" s="19">
        <f t="shared" si="3"/>
        <v>11851408</v>
      </c>
      <c r="N11" s="86">
        <v>10036457.67</v>
      </c>
      <c r="O11" s="21">
        <v>0</v>
      </c>
      <c r="P11" s="87">
        <f t="shared" si="7"/>
        <v>10036457.67</v>
      </c>
      <c r="Q11" s="91">
        <v>176237222.28999999</v>
      </c>
      <c r="R11" s="75">
        <f t="shared" si="8"/>
        <v>5.6948569318034957E-2</v>
      </c>
      <c r="S11" s="105">
        <f t="shared" si="4"/>
        <v>51.366544022437289</v>
      </c>
      <c r="T11" s="105">
        <f t="shared" si="5"/>
        <v>51.366544022437289</v>
      </c>
    </row>
    <row r="12" spans="1:22" x14ac:dyDescent="0.25">
      <c r="A12" s="67" t="s">
        <v>58</v>
      </c>
      <c r="B12" s="143">
        <v>119741131</v>
      </c>
      <c r="C12" s="72">
        <v>145115</v>
      </c>
      <c r="D12" s="16">
        <f t="shared" si="6"/>
        <v>9.0303138889845993</v>
      </c>
      <c r="E12" s="73">
        <v>1310434</v>
      </c>
      <c r="F12" s="69">
        <f>(E12/B12)</f>
        <v>1.094389195304995E-2</v>
      </c>
      <c r="G12" s="76">
        <v>1310434</v>
      </c>
      <c r="H12" s="14">
        <f t="shared" si="0"/>
        <v>1</v>
      </c>
      <c r="I12" s="85">
        <v>0</v>
      </c>
      <c r="J12" s="14">
        <f t="shared" si="1"/>
        <v>0</v>
      </c>
      <c r="K12" s="74">
        <v>0</v>
      </c>
      <c r="L12" s="15">
        <f t="shared" si="2"/>
        <v>0</v>
      </c>
      <c r="M12" s="19">
        <f t="shared" si="3"/>
        <v>1310434</v>
      </c>
      <c r="N12" s="86">
        <v>0</v>
      </c>
      <c r="O12" s="21">
        <v>0</v>
      </c>
      <c r="P12" s="184">
        <f t="shared" si="7"/>
        <v>0</v>
      </c>
      <c r="Q12" s="93">
        <v>120528131.53</v>
      </c>
      <c r="R12" s="75">
        <f t="shared" si="8"/>
        <v>0</v>
      </c>
      <c r="S12" s="185">
        <f t="shared" si="4"/>
        <v>0</v>
      </c>
      <c r="T12" s="105">
        <f t="shared" si="5"/>
        <v>0</v>
      </c>
    </row>
    <row r="13" spans="1:22" x14ac:dyDescent="0.25">
      <c r="A13" s="67" t="s">
        <v>89</v>
      </c>
      <c r="B13" s="143">
        <v>236073180.53999999</v>
      </c>
      <c r="C13" s="3">
        <v>141172</v>
      </c>
      <c r="D13" s="16">
        <f t="shared" si="6"/>
        <v>96.454077295781033</v>
      </c>
      <c r="E13" s="73">
        <v>13616615</v>
      </c>
      <c r="F13" s="69">
        <f>(E13/B13)</f>
        <v>5.7679635479358553E-2</v>
      </c>
      <c r="G13" s="70">
        <v>9116615</v>
      </c>
      <c r="H13" s="14">
        <f t="shared" si="0"/>
        <v>0.66952138986084275</v>
      </c>
      <c r="I13" s="85">
        <v>0</v>
      </c>
      <c r="J13" s="14">
        <f t="shared" si="1"/>
        <v>0</v>
      </c>
      <c r="K13" s="74">
        <v>4500000</v>
      </c>
      <c r="L13" s="15">
        <f t="shared" si="2"/>
        <v>0.33047861013915719</v>
      </c>
      <c r="M13" s="19">
        <f t="shared" si="3"/>
        <v>13616615</v>
      </c>
      <c r="N13" s="86">
        <v>14446186</v>
      </c>
      <c r="O13" s="21">
        <v>0</v>
      </c>
      <c r="P13" s="87">
        <f t="shared" si="7"/>
        <v>14446186</v>
      </c>
      <c r="Q13" s="91">
        <v>236078180.53999999</v>
      </c>
      <c r="R13" s="75">
        <f t="shared" si="8"/>
        <v>6.1192381129658469E-2</v>
      </c>
      <c r="S13" s="105">
        <f t="shared" si="4"/>
        <v>102.33039129572437</v>
      </c>
      <c r="T13" s="105">
        <f t="shared" si="5"/>
        <v>102.33039129572437</v>
      </c>
    </row>
    <row r="14" spans="1:22" x14ac:dyDescent="0.25">
      <c r="A14" s="67" t="s">
        <v>57</v>
      </c>
      <c r="B14" s="143">
        <v>87580000</v>
      </c>
      <c r="C14" s="72">
        <v>132551</v>
      </c>
      <c r="D14" s="16">
        <f t="shared" si="6"/>
        <v>44.48364780348696</v>
      </c>
      <c r="E14" s="73">
        <v>5896352</v>
      </c>
      <c r="F14" s="77">
        <f>(E14/B14)</f>
        <v>6.7325325416761811E-2</v>
      </c>
      <c r="G14" s="70">
        <v>4644352</v>
      </c>
      <c r="H14" s="14">
        <f t="shared" si="0"/>
        <v>0.78766532255876176</v>
      </c>
      <c r="I14" s="85">
        <v>0</v>
      </c>
      <c r="J14" s="14">
        <f t="shared" si="1"/>
        <v>0</v>
      </c>
      <c r="K14" s="74">
        <v>1252000</v>
      </c>
      <c r="L14" s="15">
        <f t="shared" si="2"/>
        <v>0.21233467744123824</v>
      </c>
      <c r="M14" s="19">
        <f t="shared" si="3"/>
        <v>5896352</v>
      </c>
      <c r="N14" s="86">
        <v>3750000</v>
      </c>
      <c r="O14" s="21">
        <v>0</v>
      </c>
      <c r="P14" s="87">
        <f t="shared" si="7"/>
        <v>3750000</v>
      </c>
      <c r="Q14" s="89">
        <v>89950000</v>
      </c>
      <c r="R14" s="109">
        <v>4.1599999999999998E-2</v>
      </c>
      <c r="S14" s="105">
        <f t="shared" si="4"/>
        <v>28.290997427405301</v>
      </c>
      <c r="T14" s="105">
        <f t="shared" si="5"/>
        <v>28.290997427405301</v>
      </c>
    </row>
    <row r="15" spans="1:22" x14ac:dyDescent="0.25">
      <c r="A15" s="67" t="s">
        <v>56</v>
      </c>
      <c r="B15" s="143">
        <v>141228006</v>
      </c>
      <c r="C15" s="72">
        <v>118048</v>
      </c>
      <c r="D15" s="16">
        <f t="shared" si="6"/>
        <v>60.247068988885879</v>
      </c>
      <c r="E15" s="73">
        <v>7112046</v>
      </c>
      <c r="F15" s="69">
        <f>(E15/B15)</f>
        <v>5.0358609467303535E-2</v>
      </c>
      <c r="G15" s="70">
        <v>4512046</v>
      </c>
      <c r="H15" s="14">
        <f t="shared" si="0"/>
        <v>0.63442306194307518</v>
      </c>
      <c r="I15" s="85">
        <v>2600000</v>
      </c>
      <c r="J15" s="14">
        <f t="shared" si="1"/>
        <v>0.36557693805692482</v>
      </c>
      <c r="K15" s="74">
        <v>0</v>
      </c>
      <c r="L15" s="15">
        <f t="shared" si="2"/>
        <v>0</v>
      </c>
      <c r="M15" s="19">
        <f t="shared" si="3"/>
        <v>7112046</v>
      </c>
      <c r="N15" s="86">
        <v>0</v>
      </c>
      <c r="O15" s="21">
        <v>7350000</v>
      </c>
      <c r="P15" s="87">
        <f t="shared" si="7"/>
        <v>7350000</v>
      </c>
      <c r="Q15" s="93">
        <v>153962857.88999999</v>
      </c>
      <c r="R15" s="75">
        <f t="shared" si="8"/>
        <v>4.7738786488694999E-2</v>
      </c>
      <c r="S15" s="105">
        <f t="shared" si="4"/>
        <v>62.262808349146113</v>
      </c>
      <c r="T15" s="105">
        <f t="shared" si="5"/>
        <v>0</v>
      </c>
    </row>
    <row r="16" spans="1:22" x14ac:dyDescent="0.25">
      <c r="A16" s="67" t="s">
        <v>90</v>
      </c>
      <c r="B16" s="143">
        <v>169258922</v>
      </c>
      <c r="C16" s="3">
        <v>114238</v>
      </c>
      <c r="D16" s="16">
        <f t="shared" si="6"/>
        <v>61.866778129869218</v>
      </c>
      <c r="E16" s="73">
        <v>7067537</v>
      </c>
      <c r="F16" s="69">
        <f>(E16/B16)</f>
        <v>4.1755772259969848E-2</v>
      </c>
      <c r="G16" s="70">
        <v>4412171</v>
      </c>
      <c r="H16" s="14">
        <f t="shared" si="0"/>
        <v>0.62428693334042684</v>
      </c>
      <c r="I16" s="21">
        <v>634805</v>
      </c>
      <c r="J16" s="14">
        <f t="shared" si="1"/>
        <v>8.9819833981767627E-2</v>
      </c>
      <c r="K16" s="68">
        <v>2020561</v>
      </c>
      <c r="L16" s="15">
        <f t="shared" si="2"/>
        <v>0.28589323267780559</v>
      </c>
      <c r="M16" s="19">
        <f t="shared" si="3"/>
        <v>7067537</v>
      </c>
      <c r="N16" s="86">
        <v>3553166.86</v>
      </c>
      <c r="O16" s="21">
        <v>63505.31</v>
      </c>
      <c r="P16" s="87">
        <f t="shared" si="7"/>
        <v>3616672.17</v>
      </c>
      <c r="Q16" s="91">
        <v>175650875.78</v>
      </c>
      <c r="R16" s="75">
        <f t="shared" si="8"/>
        <v>2.059011749266668E-2</v>
      </c>
      <c r="S16" s="105">
        <f t="shared" si="4"/>
        <v>31.659099161399883</v>
      </c>
      <c r="T16" s="105">
        <f t="shared" si="5"/>
        <v>31.103195609166825</v>
      </c>
    </row>
    <row r="17" spans="1:22" ht="15.75" thickBot="1" x14ac:dyDescent="0.3">
      <c r="A17" s="124"/>
      <c r="B17" s="91"/>
      <c r="C17" s="3"/>
      <c r="D17" s="16"/>
      <c r="E17" s="73"/>
      <c r="F17" s="69"/>
      <c r="G17" s="70"/>
      <c r="H17" s="14"/>
      <c r="I17" s="21"/>
      <c r="J17" s="14"/>
      <c r="K17" s="68"/>
      <c r="L17" s="15"/>
      <c r="M17" s="19"/>
      <c r="N17" s="86"/>
      <c r="O17" s="21"/>
      <c r="P17" s="87"/>
      <c r="Q17" s="91"/>
      <c r="R17" s="75"/>
      <c r="S17" s="105"/>
      <c r="T17" s="105"/>
    </row>
    <row r="18" spans="1:22" ht="15.75" thickBot="1" x14ac:dyDescent="0.3">
      <c r="A18" s="78"/>
      <c r="B18" s="112"/>
      <c r="C18" s="26"/>
      <c r="D18" s="27">
        <f>SUM(D6:D17)</f>
        <v>763.17252887320285</v>
      </c>
      <c r="E18" s="5"/>
      <c r="F18" s="196">
        <f>(F6+F7+F8+F9+F10+F11+F12+F13+F14+F15+F16)</f>
        <v>0.70499607309095924</v>
      </c>
      <c r="N18" s="12"/>
      <c r="P18" s="59">
        <f t="shared" si="7"/>
        <v>0</v>
      </c>
      <c r="R18" s="75">
        <f>SUM(R6:R17)</f>
        <v>0.49495529262988835</v>
      </c>
      <c r="S18" s="105"/>
      <c r="T18" s="105" t="e">
        <f>(N18/C18)</f>
        <v>#DIV/0!</v>
      </c>
    </row>
    <row r="19" spans="1:22" x14ac:dyDescent="0.25">
      <c r="A19" s="79"/>
      <c r="B19" s="80"/>
      <c r="C19" s="113" t="s">
        <v>98</v>
      </c>
      <c r="D19" s="114">
        <f>(D6+ D7+D8+D9+D10+D11+D13+D14+D15+D16+D12)/11</f>
        <v>69.379320806654803</v>
      </c>
      <c r="E19" s="153" t="s">
        <v>97</v>
      </c>
      <c r="F19" s="154">
        <f>(F18/11)</f>
        <v>6.4090552099178119E-2</v>
      </c>
      <c r="G19" s="81"/>
      <c r="H19" s="81"/>
      <c r="I19" s="81"/>
      <c r="J19" s="81"/>
      <c r="K19" s="81"/>
      <c r="L19" s="81"/>
      <c r="M19" s="81"/>
      <c r="N19" s="82"/>
      <c r="O19" s="81"/>
      <c r="P19" s="83">
        <f t="shared" si="7"/>
        <v>0</v>
      </c>
      <c r="Q19" s="81"/>
      <c r="R19" s="84"/>
      <c r="S19" s="105"/>
      <c r="T19" s="105"/>
    </row>
    <row r="20" spans="1:22" ht="15.75" x14ac:dyDescent="0.25">
      <c r="A20" s="35" t="s">
        <v>126</v>
      </c>
      <c r="B20" s="45" t="s">
        <v>72</v>
      </c>
      <c r="C20" s="46" t="s">
        <v>0</v>
      </c>
      <c r="D20" s="45" t="s">
        <v>63</v>
      </c>
      <c r="E20" s="45" t="s">
        <v>71</v>
      </c>
      <c r="F20" s="45" t="s">
        <v>61</v>
      </c>
      <c r="G20" s="45" t="s">
        <v>66</v>
      </c>
      <c r="H20" s="46" t="s">
        <v>67</v>
      </c>
      <c r="I20" s="45" t="s">
        <v>64</v>
      </c>
      <c r="J20" s="46" t="s">
        <v>67</v>
      </c>
      <c r="K20" s="45" t="s">
        <v>65</v>
      </c>
      <c r="L20" s="46" t="s">
        <v>67</v>
      </c>
      <c r="M20" s="45" t="s">
        <v>70</v>
      </c>
      <c r="N20" s="63" t="s">
        <v>99</v>
      </c>
      <c r="O20" s="63" t="s">
        <v>102</v>
      </c>
      <c r="P20" s="64" t="s">
        <v>104</v>
      </c>
      <c r="Q20" s="65" t="s">
        <v>105</v>
      </c>
      <c r="R20" s="66" t="s">
        <v>61</v>
      </c>
      <c r="S20" s="137" t="s">
        <v>111</v>
      </c>
      <c r="T20" s="138" t="s">
        <v>112</v>
      </c>
    </row>
    <row r="21" spans="1:22" x14ac:dyDescent="0.25">
      <c r="A21" s="55" t="s">
        <v>43</v>
      </c>
      <c r="B21" s="144">
        <v>724016300</v>
      </c>
      <c r="C21" s="3">
        <v>664938</v>
      </c>
      <c r="D21" s="16">
        <f>(E21/C21)</f>
        <v>47.898607088179652</v>
      </c>
      <c r="E21" s="5">
        <v>31849604</v>
      </c>
      <c r="F21" s="13">
        <f>(E21/B21)</f>
        <v>4.3990175359311663E-2</v>
      </c>
      <c r="G21" s="19">
        <v>17167219</v>
      </c>
      <c r="H21" s="14">
        <f>(G21/E21)</f>
        <v>0.53900886805374404</v>
      </c>
      <c r="I21" s="20">
        <v>1905485</v>
      </c>
      <c r="J21" s="14">
        <f>(I21/E21)</f>
        <v>5.9827588437206314E-2</v>
      </c>
      <c r="K21" s="20">
        <v>12776900</v>
      </c>
      <c r="L21" s="15">
        <f>(K21/E21)</f>
        <v>0.40116354350904959</v>
      </c>
      <c r="M21" s="19">
        <f>G21+I21+K21</f>
        <v>31849604</v>
      </c>
      <c r="N21" s="38">
        <v>16300000</v>
      </c>
      <c r="O21" s="56">
        <v>9250000</v>
      </c>
      <c r="P21" s="59">
        <f t="shared" si="7"/>
        <v>25550000</v>
      </c>
      <c r="Q21" s="96">
        <v>728219959.10000002</v>
      </c>
      <c r="R21" s="23">
        <f t="shared" si="8"/>
        <v>3.5085553040288812E-2</v>
      </c>
      <c r="S21" s="105">
        <f>(P21/C21)</f>
        <v>38.424635078759223</v>
      </c>
      <c r="T21" s="105">
        <f>(N21/C21)</f>
        <v>24.513563670597861</v>
      </c>
      <c r="V21" s="105">
        <f>(S21+S22+S23+S24)</f>
        <v>172.11101068092034</v>
      </c>
    </row>
    <row r="22" spans="1:22" x14ac:dyDescent="0.25">
      <c r="A22" s="55" t="s">
        <v>42</v>
      </c>
      <c r="B22" s="144">
        <v>46446846</v>
      </c>
      <c r="C22" s="3">
        <v>52223</v>
      </c>
      <c r="D22" s="16">
        <f>(E22/C22)</f>
        <v>43.505773318269725</v>
      </c>
      <c r="E22" s="5">
        <v>2272002</v>
      </c>
      <c r="F22" s="13">
        <f>(E22/B22)</f>
        <v>4.8916173985204509E-2</v>
      </c>
      <c r="G22" s="19">
        <v>2095935</v>
      </c>
      <c r="H22" s="14">
        <f>(G22/E22)</f>
        <v>0.92250579004772004</v>
      </c>
      <c r="I22" s="20">
        <v>176067</v>
      </c>
      <c r="J22" s="14">
        <f>(I22/E22)</f>
        <v>7.7494209952279972E-2</v>
      </c>
      <c r="K22" s="20"/>
      <c r="L22" s="15">
        <f>(K22/E22)</f>
        <v>0</v>
      </c>
      <c r="M22" s="19">
        <f>G22+I22+K22</f>
        <v>2272002</v>
      </c>
      <c r="N22" s="38">
        <v>2413000</v>
      </c>
      <c r="O22" s="56"/>
      <c r="P22" s="59">
        <f t="shared" si="7"/>
        <v>2413000</v>
      </c>
      <c r="Q22" s="96">
        <v>47607546.759999998</v>
      </c>
      <c r="R22" s="23">
        <f t="shared" si="8"/>
        <v>5.0685241400159897E-2</v>
      </c>
      <c r="S22" s="105">
        <f>(P22/C22)</f>
        <v>46.205694808800722</v>
      </c>
      <c r="T22" s="105">
        <f>(N22/C22)</f>
        <v>46.205694808800722</v>
      </c>
      <c r="V22">
        <v>4</v>
      </c>
    </row>
    <row r="23" spans="1:22" x14ac:dyDescent="0.25">
      <c r="A23" s="55" t="s">
        <v>44</v>
      </c>
      <c r="B23" s="144">
        <v>32945500</v>
      </c>
      <c r="C23" s="3">
        <v>35484</v>
      </c>
      <c r="D23" s="16">
        <f>(E23/C23)</f>
        <v>28.632623154097622</v>
      </c>
      <c r="E23" s="5">
        <v>1016000</v>
      </c>
      <c r="F23" s="13">
        <f>(E23/B23)</f>
        <v>3.0838809549103823E-2</v>
      </c>
      <c r="G23" s="19">
        <v>792000</v>
      </c>
      <c r="H23" s="14">
        <f>(G23/E23)</f>
        <v>0.77952755905511806</v>
      </c>
      <c r="I23" s="20">
        <v>224000</v>
      </c>
      <c r="J23" s="14">
        <f>(I23/E23)</f>
        <v>0.22047244094488189</v>
      </c>
      <c r="K23" s="20"/>
      <c r="L23" s="15">
        <f>(K23/E23)</f>
        <v>0</v>
      </c>
      <c r="M23" s="19">
        <f>G23+I23+K23</f>
        <v>1016000</v>
      </c>
      <c r="N23" s="38">
        <v>1260000</v>
      </c>
      <c r="O23" s="56">
        <v>50000</v>
      </c>
      <c r="P23" s="59">
        <f t="shared" si="7"/>
        <v>1310000</v>
      </c>
      <c r="Q23" s="90">
        <v>32945500</v>
      </c>
      <c r="R23" s="23">
        <f t="shared" si="8"/>
        <v>3.9762638296580714E-2</v>
      </c>
      <c r="S23" s="105">
        <f>(P23/C23)</f>
        <v>36.918047570736107</v>
      </c>
      <c r="T23" s="105">
        <f>(N23/C23)</f>
        <v>35.508961785593506</v>
      </c>
    </row>
    <row r="24" spans="1:22" ht="15.75" thickBot="1" x14ac:dyDescent="0.3">
      <c r="A24" s="55" t="s">
        <v>123</v>
      </c>
      <c r="B24" s="144">
        <v>20068370</v>
      </c>
      <c r="C24" s="3">
        <v>20173</v>
      </c>
      <c r="D24" s="16">
        <f>(E24/C24)</f>
        <v>47.793833341595203</v>
      </c>
      <c r="E24" s="5">
        <v>964145</v>
      </c>
      <c r="F24" s="13">
        <f>(E24/B24)</f>
        <v>4.8043014953381862E-2</v>
      </c>
      <c r="G24" s="19">
        <v>565515.18999999994</v>
      </c>
      <c r="H24" s="14">
        <f>(G24/E24)</f>
        <v>0.58654578927443479</v>
      </c>
      <c r="I24" s="20">
        <v>18000</v>
      </c>
      <c r="J24" s="14">
        <f>(I24/E24)</f>
        <v>1.8669391014836979E-2</v>
      </c>
      <c r="K24" s="20">
        <v>380630.56</v>
      </c>
      <c r="L24" s="15">
        <f>(K24/E24)</f>
        <v>0.39478559760202042</v>
      </c>
      <c r="M24" s="19">
        <f>G24+I24+K24</f>
        <v>964145.75</v>
      </c>
      <c r="N24" s="38">
        <v>1020000</v>
      </c>
      <c r="O24" s="56"/>
      <c r="P24" s="59">
        <f t="shared" si="7"/>
        <v>1020000</v>
      </c>
      <c r="Q24" s="90"/>
      <c r="R24" s="23"/>
      <c r="S24" s="105">
        <f>(P24/C24)</f>
        <v>50.562633222624299</v>
      </c>
      <c r="T24" s="105"/>
    </row>
    <row r="25" spans="1:22" ht="15.75" thickBot="1" x14ac:dyDescent="0.3">
      <c r="A25" s="24"/>
      <c r="B25" s="25"/>
      <c r="C25" s="26"/>
      <c r="D25" s="27">
        <f>SUM(D21:D24)</f>
        <v>167.83083690214221</v>
      </c>
      <c r="E25" s="5"/>
      <c r="F25" s="196">
        <f>SUM(F21:F24)</f>
        <v>0.17178817384700185</v>
      </c>
      <c r="N25" s="12"/>
      <c r="P25" s="59"/>
      <c r="R25" s="23">
        <f>SUM(R21:R23)</f>
        <v>0.12553343273702944</v>
      </c>
      <c r="S25" s="105"/>
      <c r="T25" s="105" t="e">
        <f>(N25/C25)</f>
        <v>#DIV/0!</v>
      </c>
    </row>
    <row r="26" spans="1:22" x14ac:dyDescent="0.25">
      <c r="A26" s="42"/>
      <c r="B26" s="4"/>
      <c r="C26" s="115" t="s">
        <v>98</v>
      </c>
      <c r="D26" s="116">
        <f>(D21+D22+D23+D24)/4</f>
        <v>41.957709225535552</v>
      </c>
      <c r="E26" s="155" t="s">
        <v>97</v>
      </c>
      <c r="F26" s="156">
        <f>F25/4</f>
        <v>4.2947043461750462E-2</v>
      </c>
      <c r="N26" s="12"/>
      <c r="P26" s="59"/>
      <c r="R26" s="23"/>
      <c r="S26" s="105"/>
      <c r="T26" s="105" t="e">
        <f>(N26/C26)</f>
        <v>#VALUE!</v>
      </c>
    </row>
    <row r="27" spans="1:22" ht="15.75" x14ac:dyDescent="0.25">
      <c r="A27" s="35" t="s">
        <v>127</v>
      </c>
      <c r="B27" s="35" t="s">
        <v>72</v>
      </c>
      <c r="C27" s="46" t="s">
        <v>0</v>
      </c>
      <c r="D27" s="45" t="s">
        <v>63</v>
      </c>
      <c r="E27" s="45" t="s">
        <v>71</v>
      </c>
      <c r="F27" s="45" t="s">
        <v>61</v>
      </c>
      <c r="G27" s="45" t="s">
        <v>66</v>
      </c>
      <c r="H27" s="46" t="s">
        <v>67</v>
      </c>
      <c r="I27" s="45" t="s">
        <v>64</v>
      </c>
      <c r="J27" s="46" t="s">
        <v>67</v>
      </c>
      <c r="K27" s="45" t="s">
        <v>65</v>
      </c>
      <c r="L27" s="46" t="s">
        <v>67</v>
      </c>
      <c r="M27" s="45" t="s">
        <v>70</v>
      </c>
      <c r="N27" s="63" t="s">
        <v>99</v>
      </c>
      <c r="O27" s="63" t="s">
        <v>102</v>
      </c>
      <c r="P27" s="64" t="s">
        <v>104</v>
      </c>
      <c r="Q27" s="65" t="s">
        <v>105</v>
      </c>
      <c r="R27" s="66" t="s">
        <v>61</v>
      </c>
      <c r="S27" s="137" t="s">
        <v>111</v>
      </c>
      <c r="T27" s="138" t="s">
        <v>112</v>
      </c>
    </row>
    <row r="28" spans="1:22" x14ac:dyDescent="0.25">
      <c r="A28" s="44" t="s">
        <v>119</v>
      </c>
      <c r="B28" s="144">
        <v>227382510</v>
      </c>
      <c r="C28" s="3">
        <v>272365</v>
      </c>
      <c r="D28" s="145">
        <f>(E28/C28)</f>
        <v>44.231086960512549</v>
      </c>
      <c r="E28" s="5">
        <v>12047000</v>
      </c>
      <c r="F28" s="13">
        <f>(E28/B28)</f>
        <v>5.2981207745485787E-2</v>
      </c>
      <c r="G28" s="20"/>
      <c r="H28" s="14">
        <f>(G28/E28)</f>
        <v>0</v>
      </c>
      <c r="J28" s="14">
        <f>(I28/E28)</f>
        <v>0</v>
      </c>
      <c r="K28" s="20"/>
      <c r="L28" s="15">
        <f>(K28/E28)</f>
        <v>0</v>
      </c>
      <c r="M28" s="19">
        <f>G28+I28+K28</f>
        <v>0</v>
      </c>
      <c r="N28" s="38"/>
      <c r="O28" s="54"/>
      <c r="P28" s="186">
        <f t="shared" si="7"/>
        <v>0</v>
      </c>
      <c r="Q28" s="96">
        <v>238749110.15000001</v>
      </c>
      <c r="R28" s="23"/>
      <c r="S28" s="185">
        <v>0</v>
      </c>
      <c r="T28" s="105">
        <f>(N28/C28)</f>
        <v>0</v>
      </c>
    </row>
    <row r="29" spans="1:22" x14ac:dyDescent="0.25">
      <c r="A29" s="55" t="s">
        <v>48</v>
      </c>
      <c r="B29" s="144">
        <v>236310000</v>
      </c>
      <c r="C29" s="3">
        <v>220301</v>
      </c>
      <c r="D29" s="16">
        <f>(E29/C29)</f>
        <v>39.852197674999204</v>
      </c>
      <c r="E29" s="5">
        <v>8779479</v>
      </c>
      <c r="F29" s="13">
        <f>(E29/B29)</f>
        <v>3.7152380347848166E-2</v>
      </c>
      <c r="G29" s="20">
        <v>6359579</v>
      </c>
      <c r="H29" s="14">
        <f>(G29/E29)</f>
        <v>0.72436861002799824</v>
      </c>
      <c r="J29" s="14">
        <f>(I29/E29)</f>
        <v>0</v>
      </c>
      <c r="K29" s="20">
        <v>2419900</v>
      </c>
      <c r="L29" s="15">
        <f>(K29/E29)</f>
        <v>0.27563138997200176</v>
      </c>
      <c r="M29" s="19">
        <f>G29+I29+K29</f>
        <v>8779479</v>
      </c>
      <c r="N29" s="38">
        <v>9800000</v>
      </c>
      <c r="O29" s="54"/>
      <c r="P29" s="59">
        <f t="shared" si="7"/>
        <v>9800000</v>
      </c>
      <c r="Q29" s="90">
        <v>236962000</v>
      </c>
      <c r="R29" s="23">
        <f t="shared" si="8"/>
        <v>4.1356842025303632E-2</v>
      </c>
      <c r="S29" s="105">
        <f>(P29/C29)</f>
        <v>44.484591536125571</v>
      </c>
      <c r="T29" s="105">
        <f>(N29/C29)</f>
        <v>44.484591536125571</v>
      </c>
      <c r="V29" s="105">
        <f>(S29+S30+S31)</f>
        <v>138.03646663720821</v>
      </c>
    </row>
    <row r="30" spans="1:22" x14ac:dyDescent="0.25">
      <c r="A30" s="55" t="s">
        <v>124</v>
      </c>
      <c r="B30" s="144">
        <v>65711188</v>
      </c>
      <c r="C30" s="3">
        <v>79514</v>
      </c>
      <c r="D30" s="16">
        <f t="shared" ref="D30:D31" si="9">(E30/C30)</f>
        <v>33.278416379505494</v>
      </c>
      <c r="E30" s="5">
        <v>2646100</v>
      </c>
      <c r="F30" s="15">
        <f>(E30/B30)</f>
        <v>4.0268637358983679E-2</v>
      </c>
      <c r="G30" s="20">
        <v>1966676</v>
      </c>
      <c r="H30" s="14">
        <f>(G30/E30)</f>
        <v>0.74323570537772576</v>
      </c>
      <c r="J30" s="14">
        <f>(I30/E30)</f>
        <v>0</v>
      </c>
      <c r="K30" s="20">
        <v>679424</v>
      </c>
      <c r="L30" s="15">
        <f>(K30/E30)</f>
        <v>0.25676429462227429</v>
      </c>
      <c r="M30" s="19">
        <f>G30+I30+K30</f>
        <v>2646100</v>
      </c>
      <c r="N30" s="38">
        <v>3436400</v>
      </c>
      <c r="O30" s="54"/>
      <c r="P30" s="59">
        <f t="shared" si="7"/>
        <v>3436400</v>
      </c>
      <c r="Q30" s="90"/>
      <c r="R30" s="23"/>
      <c r="S30" s="105">
        <f t="shared" ref="S30:S31" si="10">(P30/C30)</f>
        <v>43.217546595568074</v>
      </c>
      <c r="T30" s="105"/>
      <c r="V30">
        <v>3</v>
      </c>
    </row>
    <row r="31" spans="1:22" ht="15.75" thickBot="1" x14ac:dyDescent="0.3">
      <c r="A31" s="55" t="s">
        <v>125</v>
      </c>
      <c r="B31" s="144">
        <v>29036859</v>
      </c>
      <c r="C31" s="3">
        <v>40529</v>
      </c>
      <c r="D31" s="16">
        <f t="shared" si="9"/>
        <v>54.162204840978063</v>
      </c>
      <c r="E31" s="5">
        <v>2195140</v>
      </c>
      <c r="F31" s="15">
        <f>(E31/B31)</f>
        <v>7.5598397195784844E-2</v>
      </c>
      <c r="G31" s="20">
        <v>1640139.53</v>
      </c>
      <c r="H31" s="14">
        <f>(G31/E31)</f>
        <v>0.74716853139207529</v>
      </c>
      <c r="I31" s="177">
        <v>555000</v>
      </c>
      <c r="J31" s="14">
        <f>(I31/E31)</f>
        <v>0.25283125449857413</v>
      </c>
      <c r="K31" s="20"/>
      <c r="L31" s="15"/>
      <c r="M31" s="19">
        <f>G31+I31+K31</f>
        <v>2195139.5300000003</v>
      </c>
      <c r="N31" s="38">
        <v>2040000</v>
      </c>
      <c r="O31" s="54"/>
      <c r="P31" s="59">
        <f t="shared" si="7"/>
        <v>2040000</v>
      </c>
      <c r="Q31" s="90"/>
      <c r="R31" s="23"/>
      <c r="S31" s="105">
        <f t="shared" si="10"/>
        <v>50.33432850551457</v>
      </c>
      <c r="T31" s="105"/>
    </row>
    <row r="32" spans="1:22" ht="15.75" thickBot="1" x14ac:dyDescent="0.3">
      <c r="A32" s="24"/>
      <c r="B32" s="25"/>
      <c r="C32" s="26"/>
      <c r="D32" s="27">
        <f>SUM(D28:D31)</f>
        <v>171.52390585599531</v>
      </c>
      <c r="E32" s="5"/>
      <c r="F32" s="195">
        <f>SUM(F28:F31)</f>
        <v>0.20600062264810248</v>
      </c>
      <c r="N32" s="12"/>
      <c r="P32" s="59"/>
      <c r="R32" s="23"/>
      <c r="S32" s="105"/>
      <c r="T32" s="105" t="e">
        <f>(N32/C32)</f>
        <v>#DIV/0!</v>
      </c>
    </row>
    <row r="33" spans="1:22" x14ac:dyDescent="0.25">
      <c r="A33" s="4"/>
      <c r="B33" s="4"/>
      <c r="C33" s="115" t="s">
        <v>98</v>
      </c>
      <c r="D33" s="121">
        <f>(D28+D29+D30+D31)/4</f>
        <v>42.880976463998827</v>
      </c>
      <c r="E33" s="157" t="s">
        <v>97</v>
      </c>
      <c r="F33" s="158">
        <f>(F28+F29+F30+F31)/4</f>
        <v>5.1500155662025621E-2</v>
      </c>
      <c r="N33" t="s">
        <v>100</v>
      </c>
      <c r="O33" t="s">
        <v>101</v>
      </c>
      <c r="P33" s="59" t="e">
        <f t="shared" si="7"/>
        <v>#VALUE!</v>
      </c>
      <c r="R33" s="23"/>
      <c r="S33" s="105"/>
      <c r="T33" s="105" t="e">
        <f>(N33/C33)</f>
        <v>#VALUE!</v>
      </c>
    </row>
    <row r="34" spans="1:22" x14ac:dyDescent="0.25">
      <c r="A34" s="4"/>
      <c r="B34" s="4"/>
      <c r="C34" s="178"/>
      <c r="D34" s="179"/>
      <c r="E34" s="180"/>
      <c r="F34" s="181"/>
      <c r="P34" s="59"/>
      <c r="R34" s="23"/>
      <c r="S34" s="105"/>
      <c r="T34" s="105"/>
    </row>
    <row r="35" spans="1:22" ht="15.75" x14ac:dyDescent="0.25">
      <c r="A35" s="35" t="s">
        <v>130</v>
      </c>
      <c r="B35" s="35" t="s">
        <v>72</v>
      </c>
      <c r="C35" s="46" t="s">
        <v>0</v>
      </c>
      <c r="D35" s="45" t="s">
        <v>63</v>
      </c>
      <c r="E35" s="45" t="s">
        <v>71</v>
      </c>
      <c r="F35" s="45" t="s">
        <v>61</v>
      </c>
      <c r="G35" s="45" t="s">
        <v>66</v>
      </c>
      <c r="H35" s="46" t="s">
        <v>67</v>
      </c>
      <c r="I35" s="45" t="s">
        <v>64</v>
      </c>
      <c r="J35" s="46" t="s">
        <v>67</v>
      </c>
      <c r="K35" s="45" t="s">
        <v>65</v>
      </c>
      <c r="L35" s="46" t="s">
        <v>67</v>
      </c>
      <c r="M35" s="45" t="s">
        <v>70</v>
      </c>
      <c r="N35" s="63" t="s">
        <v>99</v>
      </c>
      <c r="O35" s="63" t="s">
        <v>102</v>
      </c>
      <c r="P35" s="64" t="s">
        <v>104</v>
      </c>
      <c r="Q35" s="65" t="s">
        <v>105</v>
      </c>
      <c r="R35" s="66" t="s">
        <v>61</v>
      </c>
      <c r="S35" s="137" t="s">
        <v>111</v>
      </c>
      <c r="T35" s="138" t="s">
        <v>112</v>
      </c>
      <c r="V35" s="105">
        <f>(S36+S37)</f>
        <v>167.6651032096396</v>
      </c>
    </row>
    <row r="36" spans="1:22" x14ac:dyDescent="0.25">
      <c r="A36" s="55" t="s">
        <v>40</v>
      </c>
      <c r="B36" s="144">
        <v>411743000</v>
      </c>
      <c r="C36" s="3">
        <v>406492</v>
      </c>
      <c r="D36" s="16">
        <f>(E36/C36)</f>
        <v>65.929956801117854</v>
      </c>
      <c r="E36" s="5">
        <v>26800000</v>
      </c>
      <c r="F36" s="13">
        <v>6.5089145413522509E-2</v>
      </c>
      <c r="K36" s="20">
        <v>26800000</v>
      </c>
      <c r="L36" s="15">
        <f>(K36/E36)</f>
        <v>1</v>
      </c>
      <c r="M36" s="19">
        <f>G36+I36+K36</f>
        <v>26800000</v>
      </c>
      <c r="N36" s="38">
        <v>34000000</v>
      </c>
      <c r="O36" s="54"/>
      <c r="P36" s="59">
        <f t="shared" si="7"/>
        <v>34000000</v>
      </c>
      <c r="Q36" s="90">
        <v>420109740.68000001</v>
      </c>
      <c r="R36" s="23">
        <f t="shared" si="8"/>
        <v>8.0931234645896952E-2</v>
      </c>
      <c r="S36" s="105">
        <f>(P36/C36)</f>
        <v>83.64248250888086</v>
      </c>
      <c r="T36" s="105">
        <f>(N36/C36)</f>
        <v>83.64248250888086</v>
      </c>
      <c r="V36">
        <v>2</v>
      </c>
    </row>
    <row r="37" spans="1:22" x14ac:dyDescent="0.25">
      <c r="A37" s="55" t="s">
        <v>128</v>
      </c>
      <c r="B37" s="144">
        <v>57357007</v>
      </c>
      <c r="C37" s="3">
        <v>49689</v>
      </c>
      <c r="D37" s="16">
        <f>(E37/C37)</f>
        <v>107.98490953732214</v>
      </c>
      <c r="E37" s="5">
        <v>5365662.17</v>
      </c>
      <c r="F37" s="13">
        <f>(E37/B37)</f>
        <v>9.3548503498447885E-2</v>
      </c>
      <c r="G37" s="176">
        <v>3798220.17</v>
      </c>
      <c r="H37" s="182">
        <f>(G37/E37)</f>
        <v>0.70787538418580687</v>
      </c>
      <c r="I37" s="176">
        <v>1567442</v>
      </c>
      <c r="J37" s="182">
        <f>(I37/E37)</f>
        <v>0.29212461581419319</v>
      </c>
      <c r="K37" s="20"/>
      <c r="L37" s="15"/>
      <c r="M37" s="19">
        <f>G37+I37+K37</f>
        <v>5365662.17</v>
      </c>
      <c r="N37" s="38">
        <v>4175000</v>
      </c>
      <c r="O37" s="54"/>
      <c r="P37" s="59">
        <f t="shared" si="7"/>
        <v>4175000</v>
      </c>
      <c r="Q37" s="90"/>
      <c r="R37" s="23"/>
      <c r="S37" s="105">
        <f>(P37/C37)</f>
        <v>84.022620700758722</v>
      </c>
      <c r="T37" s="105"/>
    </row>
    <row r="38" spans="1:22" ht="15.75" thickBot="1" x14ac:dyDescent="0.3">
      <c r="A38" s="55" t="s">
        <v>129</v>
      </c>
      <c r="B38" s="144">
        <v>89354220</v>
      </c>
      <c r="C38" s="3">
        <v>49063</v>
      </c>
      <c r="D38" s="145">
        <f>(E38/C38)</f>
        <v>171.84028697796711</v>
      </c>
      <c r="E38" s="5">
        <v>8431000</v>
      </c>
      <c r="F38" s="13">
        <f>(E38/B38)</f>
        <v>9.4354804954931065E-2</v>
      </c>
      <c r="G38" s="176">
        <v>8431000</v>
      </c>
      <c r="H38" s="140">
        <v>1</v>
      </c>
      <c r="K38" s="20"/>
      <c r="L38" s="15"/>
      <c r="M38" s="19">
        <f>G38+I38+K38</f>
        <v>8431000</v>
      </c>
      <c r="N38" s="38" t="s">
        <v>149</v>
      </c>
      <c r="O38" s="54"/>
      <c r="P38" s="59" t="e">
        <f t="shared" si="7"/>
        <v>#VALUE!</v>
      </c>
      <c r="Q38" s="90"/>
      <c r="R38" s="23"/>
      <c r="S38" s="105"/>
      <c r="T38" s="105"/>
    </row>
    <row r="39" spans="1:22" ht="15.75" thickBot="1" x14ac:dyDescent="0.3">
      <c r="A39" s="24"/>
      <c r="B39" s="25"/>
      <c r="C39" s="26"/>
      <c r="D39" s="27">
        <f>SUM(D36:D38)</f>
        <v>345.75515331640713</v>
      </c>
      <c r="E39" s="5"/>
      <c r="F39" s="195">
        <f>SUM(F36:F38)</f>
        <v>0.2529924538669015</v>
      </c>
      <c r="N39" s="12"/>
      <c r="P39" s="59"/>
      <c r="R39" s="23"/>
      <c r="S39" s="105"/>
      <c r="T39" s="105" t="e">
        <f>(N39/C39)</f>
        <v>#DIV/0!</v>
      </c>
    </row>
    <row r="40" spans="1:22" x14ac:dyDescent="0.25">
      <c r="A40" s="4"/>
      <c r="B40" s="4"/>
      <c r="C40" s="115" t="s">
        <v>98</v>
      </c>
      <c r="D40" s="121">
        <f>(D36+D37+D38)/3</f>
        <v>115.25171777213571</v>
      </c>
      <c r="E40" s="157" t="s">
        <v>97</v>
      </c>
      <c r="F40" s="159">
        <f>(F36+F37+F38)/3</f>
        <v>8.4330817955633838E-2</v>
      </c>
      <c r="N40" s="12"/>
      <c r="P40" s="59"/>
      <c r="R40" s="23"/>
      <c r="S40" s="105"/>
      <c r="T40" s="105" t="e">
        <f>(N40/C40)</f>
        <v>#VALUE!</v>
      </c>
    </row>
    <row r="41" spans="1:22" ht="15.75" x14ac:dyDescent="0.25">
      <c r="A41" s="35" t="s">
        <v>77</v>
      </c>
      <c r="B41" s="35" t="s">
        <v>72</v>
      </c>
      <c r="C41" s="46" t="s">
        <v>0</v>
      </c>
      <c r="D41" s="45" t="s">
        <v>63</v>
      </c>
      <c r="E41" s="45" t="s">
        <v>71</v>
      </c>
      <c r="F41" s="45" t="s">
        <v>61</v>
      </c>
      <c r="G41" s="45" t="s">
        <v>66</v>
      </c>
      <c r="H41" s="46" t="s">
        <v>67</v>
      </c>
      <c r="I41" s="45" t="s">
        <v>64</v>
      </c>
      <c r="J41" s="46" t="s">
        <v>67</v>
      </c>
      <c r="K41" s="45" t="s">
        <v>65</v>
      </c>
      <c r="L41" s="46" t="s">
        <v>67</v>
      </c>
      <c r="M41" s="45" t="s">
        <v>70</v>
      </c>
      <c r="N41" s="63" t="s">
        <v>99</v>
      </c>
      <c r="O41" s="63" t="s">
        <v>102</v>
      </c>
      <c r="P41" s="64" t="s">
        <v>104</v>
      </c>
      <c r="Q41" s="65" t="s">
        <v>105</v>
      </c>
      <c r="R41" s="66" t="s">
        <v>61</v>
      </c>
      <c r="S41" s="137" t="s">
        <v>111</v>
      </c>
      <c r="T41" s="138" t="s">
        <v>112</v>
      </c>
    </row>
    <row r="42" spans="1:22" x14ac:dyDescent="0.25">
      <c r="A42" s="55" t="s">
        <v>52</v>
      </c>
      <c r="B42" s="144">
        <v>320567804</v>
      </c>
      <c r="C42" s="3">
        <v>377650</v>
      </c>
      <c r="D42" s="16">
        <f>(E42/C42)</f>
        <v>49.71748179531312</v>
      </c>
      <c r="E42" s="5">
        <v>18775807</v>
      </c>
      <c r="F42" s="13">
        <f>(E42/B42)</f>
        <v>5.8570470164870332E-2</v>
      </c>
      <c r="G42" s="20">
        <v>18775807</v>
      </c>
      <c r="H42" s="14">
        <f>(G42/E42)</f>
        <v>1</v>
      </c>
      <c r="I42" s="20"/>
      <c r="J42" s="14">
        <f>(I42/E42)</f>
        <v>0</v>
      </c>
      <c r="K42" s="20"/>
      <c r="L42" s="15">
        <f>(K42/E42)</f>
        <v>0</v>
      </c>
      <c r="M42" s="19">
        <f>G42+I42+K42</f>
        <v>18775807</v>
      </c>
      <c r="N42" s="125" t="s">
        <v>108</v>
      </c>
      <c r="O42" s="54">
        <v>1099734</v>
      </c>
      <c r="P42" s="54">
        <v>1099734</v>
      </c>
      <c r="Q42" s="96">
        <v>355291410.44999999</v>
      </c>
      <c r="R42" s="23">
        <f t="shared" si="8"/>
        <v>3.0953013995106563E-3</v>
      </c>
      <c r="S42" s="185">
        <v>0</v>
      </c>
      <c r="T42" s="105" t="e">
        <f>(N42/C42)</f>
        <v>#VALUE!</v>
      </c>
    </row>
    <row r="43" spans="1:22" x14ac:dyDescent="0.25">
      <c r="A43" s="55" t="s">
        <v>51</v>
      </c>
      <c r="B43" s="144">
        <v>246310000</v>
      </c>
      <c r="C43" s="3">
        <v>203692</v>
      </c>
      <c r="D43" s="16">
        <f>(E43/C43)</f>
        <v>54.706561867918232</v>
      </c>
      <c r="E43" s="5">
        <v>11143289</v>
      </c>
      <c r="F43" s="13">
        <f>(E43/B43)</f>
        <v>4.5240911859039425E-2</v>
      </c>
      <c r="G43" s="20">
        <v>7007439</v>
      </c>
      <c r="H43" s="14">
        <f>(G43/E43)</f>
        <v>0.6288483588642455</v>
      </c>
      <c r="I43" s="20">
        <v>39266</v>
      </c>
      <c r="J43" s="14">
        <f>(I43/E43)</f>
        <v>3.523735227543681E-3</v>
      </c>
      <c r="K43" s="20">
        <v>4096584</v>
      </c>
      <c r="L43" s="15">
        <f>(K43/E43)</f>
        <v>0.36762790590821076</v>
      </c>
      <c r="M43" s="19">
        <f>G43+I43+K43</f>
        <v>11143289</v>
      </c>
      <c r="N43" s="38">
        <v>11700000</v>
      </c>
      <c r="O43" s="54"/>
      <c r="P43" s="59">
        <f t="shared" si="7"/>
        <v>11700000</v>
      </c>
      <c r="Q43" s="90">
        <v>249718000</v>
      </c>
      <c r="R43" s="23">
        <f t="shared" si="8"/>
        <v>4.6852850014816712E-2</v>
      </c>
      <c r="S43" s="105">
        <f>(P43/C43)</f>
        <v>57.439663806138682</v>
      </c>
      <c r="T43" s="105">
        <f>(N43/C43)</f>
        <v>57.439663806138682</v>
      </c>
      <c r="V43" s="105">
        <f>(S43+S44+S45)</f>
        <v>157.91945374836234</v>
      </c>
    </row>
    <row r="44" spans="1:22" x14ac:dyDescent="0.25">
      <c r="A44" s="55" t="s">
        <v>53</v>
      </c>
      <c r="B44" s="144">
        <v>156556564.41</v>
      </c>
      <c r="C44" s="3">
        <v>153655</v>
      </c>
      <c r="D44" s="16">
        <f>(E44/C44)</f>
        <v>61.082588851648168</v>
      </c>
      <c r="E44" s="5">
        <v>9385645.1899999995</v>
      </c>
      <c r="F44" s="13">
        <f>(E44/B44)</f>
        <v>5.9950505591195094E-2</v>
      </c>
      <c r="G44" s="20">
        <v>6137114.1900000004</v>
      </c>
      <c r="H44" s="14"/>
      <c r="I44" s="20"/>
      <c r="J44" s="14"/>
      <c r="K44" s="20">
        <v>3248531</v>
      </c>
      <c r="L44" s="15"/>
      <c r="M44" s="19">
        <f>G44+I44+K44</f>
        <v>9385645.1900000013</v>
      </c>
      <c r="N44" s="38">
        <v>11300000</v>
      </c>
      <c r="O44" s="54"/>
      <c r="P44" s="59">
        <f t="shared" si="7"/>
        <v>11300000</v>
      </c>
      <c r="Q44" s="90"/>
      <c r="R44" s="23"/>
      <c r="S44" s="105">
        <f t="shared" ref="S44:S45" si="11">(P44/C44)</f>
        <v>73.541375158634608</v>
      </c>
      <c r="T44" s="105"/>
      <c r="V44">
        <v>3</v>
      </c>
    </row>
    <row r="45" spans="1:22" ht="15.75" thickBot="1" x14ac:dyDescent="0.3">
      <c r="A45" s="55" t="s">
        <v>50</v>
      </c>
      <c r="B45" s="144">
        <v>80244638.920000002</v>
      </c>
      <c r="C45" s="3">
        <v>102005</v>
      </c>
      <c r="D45" s="145">
        <f>(E45/C45)</f>
        <v>72.580879466692807</v>
      </c>
      <c r="E45" s="5">
        <v>7403612.6100000003</v>
      </c>
      <c r="F45" s="13">
        <f>(E45/B45)</f>
        <v>9.2263018559794893E-2</v>
      </c>
      <c r="G45" s="20">
        <v>7403612.6100000003</v>
      </c>
      <c r="H45" s="14">
        <v>1</v>
      </c>
      <c r="I45" s="20"/>
      <c r="J45" s="14"/>
      <c r="K45" s="20"/>
      <c r="L45" s="15"/>
      <c r="M45" s="19">
        <f>G45+I45+K45</f>
        <v>7403612.6100000003</v>
      </c>
      <c r="N45" s="38">
        <v>2747853</v>
      </c>
      <c r="O45" s="54"/>
      <c r="P45" s="59">
        <f t="shared" si="7"/>
        <v>2747853</v>
      </c>
      <c r="Q45" s="90"/>
      <c r="R45" s="23"/>
      <c r="S45" s="105">
        <f t="shared" si="11"/>
        <v>26.938414783589039</v>
      </c>
      <c r="T45" s="105"/>
    </row>
    <row r="46" spans="1:22" ht="15.75" thickBot="1" x14ac:dyDescent="0.3">
      <c r="A46" s="24"/>
      <c r="B46" s="25"/>
      <c r="C46" s="26"/>
      <c r="D46" s="27">
        <f>SUM(D42:D45)</f>
        <v>238.08751198157233</v>
      </c>
      <c r="E46" s="5"/>
      <c r="F46" s="195">
        <f>SUM(F42:F45)</f>
        <v>0.25602490617489976</v>
      </c>
      <c r="N46" s="12"/>
      <c r="P46" s="59"/>
      <c r="R46" s="23">
        <f>SUM(R43:R43)</f>
        <v>4.6852850014816712E-2</v>
      </c>
      <c r="S46" s="105"/>
      <c r="T46" s="105" t="e">
        <f>(N46/C46)</f>
        <v>#DIV/0!</v>
      </c>
    </row>
    <row r="47" spans="1:22" x14ac:dyDescent="0.25">
      <c r="A47" s="4"/>
      <c r="B47" s="4"/>
      <c r="C47" s="115" t="s">
        <v>98</v>
      </c>
      <c r="D47" s="121">
        <f>(D42+D43+D44+D45)/4</f>
        <v>59.521877995393083</v>
      </c>
      <c r="E47" s="155" t="s">
        <v>97</v>
      </c>
      <c r="F47" s="156">
        <f>(F42+F43+F44+F45)/4</f>
        <v>6.4006226543724939E-2</v>
      </c>
      <c r="N47" s="12"/>
      <c r="P47" s="59"/>
      <c r="R47" s="23"/>
      <c r="S47" s="105"/>
      <c r="T47" s="105" t="e">
        <f>(N47/C47)</f>
        <v>#VALUE!</v>
      </c>
    </row>
    <row r="48" spans="1:22" ht="15.75" x14ac:dyDescent="0.25">
      <c r="A48" s="35" t="s">
        <v>131</v>
      </c>
      <c r="B48" s="35" t="s">
        <v>72</v>
      </c>
      <c r="C48" s="46" t="s">
        <v>0</v>
      </c>
      <c r="D48" s="45" t="s">
        <v>63</v>
      </c>
      <c r="E48" s="45" t="s">
        <v>71</v>
      </c>
      <c r="F48" s="45" t="s">
        <v>61</v>
      </c>
      <c r="G48" s="45" t="s">
        <v>66</v>
      </c>
      <c r="H48" s="46" t="s">
        <v>67</v>
      </c>
      <c r="I48" s="45" t="s">
        <v>64</v>
      </c>
      <c r="J48" s="46" t="s">
        <v>67</v>
      </c>
      <c r="K48" s="45" t="s">
        <v>65</v>
      </c>
      <c r="L48" s="46" t="s">
        <v>67</v>
      </c>
      <c r="M48" s="45" t="s">
        <v>70</v>
      </c>
      <c r="N48" s="63" t="s">
        <v>99</v>
      </c>
      <c r="O48" s="63" t="s">
        <v>102</v>
      </c>
      <c r="P48" s="64" t="s">
        <v>104</v>
      </c>
      <c r="Q48" s="65" t="s">
        <v>105</v>
      </c>
      <c r="R48" s="66" t="s">
        <v>61</v>
      </c>
      <c r="S48" s="137" t="s">
        <v>111</v>
      </c>
      <c r="T48" s="138" t="s">
        <v>112</v>
      </c>
    </row>
    <row r="49" spans="1:22" x14ac:dyDescent="0.25">
      <c r="A49" s="55" t="s">
        <v>41</v>
      </c>
      <c r="B49" s="144">
        <v>194117552</v>
      </c>
      <c r="C49" s="3">
        <v>171951</v>
      </c>
      <c r="D49" s="145">
        <f>(E49/C49)</f>
        <v>38.612313973166778</v>
      </c>
      <c r="E49" s="5">
        <v>6639426</v>
      </c>
      <c r="F49" s="196">
        <f>(E49/B49)</f>
        <v>3.4203120385528044E-2</v>
      </c>
      <c r="G49" s="20">
        <v>1035000</v>
      </c>
      <c r="H49" s="14">
        <f>(G49/E49)</f>
        <v>0.15588696974708355</v>
      </c>
      <c r="J49" s="14">
        <f>(I49/E49)</f>
        <v>0</v>
      </c>
      <c r="K49" s="20">
        <v>5604426</v>
      </c>
      <c r="L49" s="15">
        <f>(K49/E49)</f>
        <v>0.8441130302529164</v>
      </c>
      <c r="M49" s="19">
        <f>G49+I49+K49</f>
        <v>6639426</v>
      </c>
      <c r="N49" s="38">
        <v>12975000</v>
      </c>
      <c r="P49" s="59">
        <f t="shared" si="7"/>
        <v>12975000</v>
      </c>
      <c r="Q49" s="94">
        <v>195979622.30000001</v>
      </c>
      <c r="R49" s="23">
        <f t="shared" si="8"/>
        <v>6.6205862873529989E-2</v>
      </c>
      <c r="S49" s="105">
        <f>(P49/C49)</f>
        <v>75.457543137289107</v>
      </c>
      <c r="T49" s="105">
        <f>(N49/C49)</f>
        <v>75.457543137289107</v>
      </c>
      <c r="V49" s="105">
        <f>(S49+S50+S51+S52)</f>
        <v>232.37088218974864</v>
      </c>
    </row>
    <row r="50" spans="1:22" x14ac:dyDescent="0.25">
      <c r="A50" s="55" t="s">
        <v>132</v>
      </c>
      <c r="B50" s="144">
        <v>49166263</v>
      </c>
      <c r="C50" s="3">
        <v>52034</v>
      </c>
      <c r="D50" s="16">
        <f>(E50/C50)</f>
        <v>72.414190721451362</v>
      </c>
      <c r="E50" s="5">
        <v>3768000</v>
      </c>
      <c r="F50" s="196">
        <f>(E50/B50)</f>
        <v>7.6637917345884113E-2</v>
      </c>
      <c r="G50" s="20">
        <v>2830100</v>
      </c>
      <c r="H50" s="14">
        <f>(G50/E50)</f>
        <v>0.75108811040339707</v>
      </c>
      <c r="I50" s="176">
        <v>937900</v>
      </c>
      <c r="J50" s="14">
        <f>(I50/E50)</f>
        <v>0.24891188959660296</v>
      </c>
      <c r="K50" s="20"/>
      <c r="L50" s="15"/>
      <c r="M50" s="19">
        <f t="shared" ref="M50:M52" si="12">G50+I50+K50</f>
        <v>3768000</v>
      </c>
      <c r="N50" s="38">
        <v>2804900</v>
      </c>
      <c r="P50" s="59">
        <f t="shared" si="7"/>
        <v>2804900</v>
      </c>
      <c r="Q50" s="94"/>
      <c r="R50" s="23"/>
      <c r="S50" s="105">
        <f t="shared" ref="S50:S52" si="13">(P50/C50)</f>
        <v>53.905138947611178</v>
      </c>
      <c r="T50" s="105"/>
    </row>
    <row r="51" spans="1:22" x14ac:dyDescent="0.25">
      <c r="A51" s="55" t="s">
        <v>133</v>
      </c>
      <c r="B51" s="144">
        <v>28783919.609999999</v>
      </c>
      <c r="C51" s="3">
        <v>31817</v>
      </c>
      <c r="D51" s="16">
        <f>(E51/C51)</f>
        <v>76.230709683502539</v>
      </c>
      <c r="E51" s="5">
        <v>2425432.4900000002</v>
      </c>
      <c r="F51" s="196">
        <f>(E51/B51)</f>
        <v>8.4263454139073046E-2</v>
      </c>
      <c r="G51" s="20">
        <v>1271072.49</v>
      </c>
      <c r="H51" s="14">
        <f>(G51/E51)</f>
        <v>0.52406013988870082</v>
      </c>
      <c r="J51" s="14"/>
      <c r="K51" s="20">
        <v>1154360</v>
      </c>
      <c r="L51" s="15">
        <f>(K51/E51)</f>
        <v>0.47593986011129913</v>
      </c>
      <c r="M51" s="19">
        <f t="shared" si="12"/>
        <v>2425432.4900000002</v>
      </c>
      <c r="N51" s="38">
        <v>1685000</v>
      </c>
      <c r="P51" s="59">
        <f t="shared" si="7"/>
        <v>1685000</v>
      </c>
      <c r="Q51" s="94"/>
      <c r="R51" s="23"/>
      <c r="S51" s="105">
        <f t="shared" si="13"/>
        <v>52.959109909796652</v>
      </c>
      <c r="T51" s="105"/>
      <c r="V51">
        <v>4</v>
      </c>
    </row>
    <row r="52" spans="1:22" ht="15.75" thickBot="1" x14ac:dyDescent="0.3">
      <c r="A52" s="55" t="s">
        <v>134</v>
      </c>
      <c r="B52" s="144">
        <v>28756328.620000001</v>
      </c>
      <c r="C52" s="3">
        <v>30556</v>
      </c>
      <c r="D52" s="16">
        <f>(E52/C52)</f>
        <v>62.835449666186676</v>
      </c>
      <c r="E52" s="5">
        <v>1920000</v>
      </c>
      <c r="F52" s="196">
        <f>(E52/B52)</f>
        <v>6.6767911348204645E-2</v>
      </c>
      <c r="G52" s="20">
        <v>920000</v>
      </c>
      <c r="H52" s="14">
        <f>(G52/E52)</f>
        <v>0.47916666666666669</v>
      </c>
      <c r="J52" s="14"/>
      <c r="K52" s="20">
        <v>1000000</v>
      </c>
      <c r="L52" s="15">
        <f>(K52/E52)</f>
        <v>0.52083333333333337</v>
      </c>
      <c r="M52" s="19">
        <f t="shared" si="12"/>
        <v>1920000</v>
      </c>
      <c r="N52" s="38">
        <v>1529300</v>
      </c>
      <c r="P52" s="59">
        <f t="shared" si="7"/>
        <v>1529300</v>
      </c>
      <c r="Q52" s="94"/>
      <c r="R52" s="23"/>
      <c r="S52" s="105">
        <f t="shared" si="13"/>
        <v>50.049090195051711</v>
      </c>
      <c r="T52" s="105"/>
    </row>
    <row r="53" spans="1:22" ht="15.75" thickBot="1" x14ac:dyDescent="0.3">
      <c r="A53" s="24"/>
      <c r="B53" s="25"/>
      <c r="C53" s="26"/>
      <c r="D53" s="27">
        <f>SUM(D49:D52)</f>
        <v>250.09266404430736</v>
      </c>
      <c r="E53" s="5"/>
      <c r="F53" s="196">
        <f>SUM(F49:F52)</f>
        <v>0.26187240321868988</v>
      </c>
      <c r="N53" s="12"/>
      <c r="P53" s="59">
        <f t="shared" si="7"/>
        <v>0</v>
      </c>
      <c r="R53" s="23"/>
      <c r="S53" s="105"/>
      <c r="T53" s="105" t="e">
        <f>(N53/C53)</f>
        <v>#DIV/0!</v>
      </c>
    </row>
    <row r="54" spans="1:22" x14ac:dyDescent="0.25">
      <c r="A54" s="4"/>
      <c r="B54" s="4"/>
      <c r="C54" s="115" t="s">
        <v>98</v>
      </c>
      <c r="D54" s="121">
        <f>(D49+D50+D51+D52)/4</f>
        <v>62.523166011076839</v>
      </c>
      <c r="E54" s="157" t="s">
        <v>97</v>
      </c>
      <c r="F54" s="197">
        <f>(F49+F50+F51+F52)/4</f>
        <v>6.5468100804672469E-2</v>
      </c>
      <c r="N54" t="s">
        <v>100</v>
      </c>
      <c r="O54" t="s">
        <v>101</v>
      </c>
      <c r="P54" s="59" t="e">
        <f t="shared" si="7"/>
        <v>#VALUE!</v>
      </c>
      <c r="R54" s="23"/>
      <c r="S54" s="105"/>
      <c r="T54" s="105" t="e">
        <f>(N54/C54)</f>
        <v>#VALUE!</v>
      </c>
    </row>
    <row r="55" spans="1:22" ht="15.75" x14ac:dyDescent="0.25">
      <c r="A55" s="35" t="s">
        <v>76</v>
      </c>
      <c r="B55" s="35" t="s">
        <v>72</v>
      </c>
      <c r="C55" s="46" t="s">
        <v>0</v>
      </c>
      <c r="D55" s="45" t="s">
        <v>63</v>
      </c>
      <c r="E55" s="45" t="s">
        <v>69</v>
      </c>
      <c r="F55" s="45" t="s">
        <v>61</v>
      </c>
      <c r="G55" s="45" t="s">
        <v>74</v>
      </c>
      <c r="H55" s="46" t="s">
        <v>67</v>
      </c>
      <c r="I55" s="45" t="s">
        <v>75</v>
      </c>
      <c r="J55" s="46" t="s">
        <v>67</v>
      </c>
      <c r="K55" s="45" t="s">
        <v>65</v>
      </c>
      <c r="L55" s="46" t="s">
        <v>67</v>
      </c>
      <c r="M55" s="47"/>
      <c r="N55" s="63" t="s">
        <v>99</v>
      </c>
      <c r="O55" s="63" t="s">
        <v>102</v>
      </c>
      <c r="P55" s="64" t="s">
        <v>104</v>
      </c>
      <c r="Q55" s="65" t="s">
        <v>105</v>
      </c>
      <c r="R55" s="66" t="s">
        <v>61</v>
      </c>
      <c r="S55" s="137" t="s">
        <v>111</v>
      </c>
      <c r="T55" s="138" t="s">
        <v>112</v>
      </c>
    </row>
    <row r="56" spans="1:22" x14ac:dyDescent="0.25">
      <c r="A56" t="s">
        <v>23</v>
      </c>
      <c r="B56" s="146">
        <v>265030000</v>
      </c>
      <c r="C56" s="41">
        <v>299715</v>
      </c>
      <c r="D56" s="16">
        <f t="shared" ref="D56:D64" si="14">(E56/C56)</f>
        <v>47.267023672488861</v>
      </c>
      <c r="E56" s="20">
        <v>14166636</v>
      </c>
      <c r="F56" s="13">
        <f t="shared" ref="F56:F64" si="15">(E56/B56)</f>
        <v>5.3452952495943853E-2</v>
      </c>
      <c r="G56" s="20">
        <v>9213876</v>
      </c>
      <c r="H56" s="14">
        <f t="shared" ref="H56:H64" si="16">(G56/E56)</f>
        <v>0.65039265496762955</v>
      </c>
      <c r="J56" s="14">
        <f t="shared" ref="J56:J64" si="17">(I56/E56)</f>
        <v>0</v>
      </c>
      <c r="K56" s="20">
        <v>4952760</v>
      </c>
      <c r="L56" s="15">
        <f t="shared" ref="L56:L64" si="18">(K56/E56)</f>
        <v>0.3496073450323704</v>
      </c>
      <c r="M56" s="19">
        <f>G56+I56+K56</f>
        <v>14166636</v>
      </c>
      <c r="N56" s="12" t="s">
        <v>108</v>
      </c>
      <c r="P56" s="59" t="e">
        <f t="shared" si="7"/>
        <v>#VALUE!</v>
      </c>
      <c r="Q56" s="97">
        <v>270589955</v>
      </c>
      <c r="R56" s="23"/>
      <c r="S56" s="185">
        <v>0</v>
      </c>
      <c r="T56" s="105" t="e">
        <f t="shared" ref="T56:T66" si="19">(N56/C56)</f>
        <v>#VALUE!</v>
      </c>
      <c r="V56" s="105">
        <f>(S57+S58+S59+S60+S61+S62+S63+S64)</f>
        <v>432.65467122951043</v>
      </c>
    </row>
    <row r="57" spans="1:22" x14ac:dyDescent="0.25">
      <c r="A57" t="s">
        <v>28</v>
      </c>
      <c r="B57" s="146">
        <v>203775200</v>
      </c>
      <c r="C57" s="41">
        <v>175623</v>
      </c>
      <c r="D57" s="16">
        <f t="shared" si="14"/>
        <v>70.650768976728557</v>
      </c>
      <c r="E57" s="39">
        <v>12407900</v>
      </c>
      <c r="F57" s="13">
        <f t="shared" si="15"/>
        <v>6.0890137759648869E-2</v>
      </c>
      <c r="G57" s="20">
        <v>8139300</v>
      </c>
      <c r="H57" s="14">
        <f t="shared" si="16"/>
        <v>0.65597724030657889</v>
      </c>
      <c r="I57" s="20">
        <v>1668000</v>
      </c>
      <c r="J57" s="14">
        <f t="shared" si="17"/>
        <v>0.13443048380467282</v>
      </c>
      <c r="K57" s="39">
        <v>2600600</v>
      </c>
      <c r="L57" s="15">
        <f t="shared" si="18"/>
        <v>0.20959227588874829</v>
      </c>
      <c r="M57" s="19">
        <f t="shared" ref="M57:M64" si="20">G57+I57+K57</f>
        <v>12407900</v>
      </c>
      <c r="N57" s="38">
        <v>10950105</v>
      </c>
      <c r="O57" s="54">
        <v>815000</v>
      </c>
      <c r="P57" s="59">
        <f t="shared" si="7"/>
        <v>11765105</v>
      </c>
      <c r="Q57" s="97">
        <v>204766222</v>
      </c>
      <c r="R57" s="23">
        <f t="shared" si="8"/>
        <v>5.7456278116026382E-2</v>
      </c>
      <c r="S57" s="105">
        <f t="shared" ref="S57:S64" si="21">(P57/C57)</f>
        <v>66.990684591425946</v>
      </c>
      <c r="T57" s="105">
        <f t="shared" si="19"/>
        <v>62.35006234946448</v>
      </c>
      <c r="V57">
        <v>8</v>
      </c>
    </row>
    <row r="58" spans="1:22" x14ac:dyDescent="0.25">
      <c r="A58" t="s">
        <v>24</v>
      </c>
      <c r="B58" s="146">
        <v>147598670.65000001</v>
      </c>
      <c r="C58" s="41">
        <v>144436</v>
      </c>
      <c r="D58" s="145">
        <f t="shared" si="14"/>
        <v>25.92686033952754</v>
      </c>
      <c r="E58" s="39">
        <v>3744772</v>
      </c>
      <c r="F58" s="13">
        <f t="shared" si="15"/>
        <v>2.5371312515950494E-2</v>
      </c>
      <c r="G58" s="20">
        <v>1568500</v>
      </c>
      <c r="H58" s="14">
        <f t="shared" si="16"/>
        <v>0.41885060025016208</v>
      </c>
      <c r="I58" s="20"/>
      <c r="J58" s="14">
        <f t="shared" si="17"/>
        <v>0</v>
      </c>
      <c r="K58" s="20">
        <v>2176272</v>
      </c>
      <c r="L58" s="15">
        <f t="shared" si="18"/>
        <v>0.58114939974983792</v>
      </c>
      <c r="M58" s="19">
        <f t="shared" si="20"/>
        <v>3744772</v>
      </c>
      <c r="N58" s="38">
        <v>12400000</v>
      </c>
      <c r="O58" s="54"/>
      <c r="P58" s="59">
        <f t="shared" si="7"/>
        <v>12400000</v>
      </c>
      <c r="Q58" s="97">
        <v>147598670.65000001</v>
      </c>
      <c r="R58" s="23">
        <f t="shared" si="8"/>
        <v>8.4011596753496912E-2</v>
      </c>
      <c r="S58" s="105">
        <f t="shared" si="21"/>
        <v>85.851172837796668</v>
      </c>
      <c r="T58" s="105">
        <f t="shared" si="19"/>
        <v>85.851172837796668</v>
      </c>
    </row>
    <row r="59" spans="1:22" x14ac:dyDescent="0.25">
      <c r="A59" t="s">
        <v>25</v>
      </c>
      <c r="B59" s="146">
        <v>119565588.29000001</v>
      </c>
      <c r="C59" s="41">
        <v>125317</v>
      </c>
      <c r="D59" s="16">
        <f t="shared" si="14"/>
        <v>35.209045859699799</v>
      </c>
      <c r="E59" s="39">
        <v>4412292</v>
      </c>
      <c r="F59" s="13">
        <f t="shared" si="15"/>
        <v>3.6902691343752007E-2</v>
      </c>
      <c r="G59" s="20">
        <v>4412292</v>
      </c>
      <c r="H59" s="14">
        <f t="shared" si="16"/>
        <v>1</v>
      </c>
      <c r="I59" s="20"/>
      <c r="J59" s="14">
        <f t="shared" si="17"/>
        <v>0</v>
      </c>
      <c r="K59" s="20"/>
      <c r="L59" s="15">
        <f t="shared" si="18"/>
        <v>0</v>
      </c>
      <c r="M59" s="19">
        <f t="shared" si="20"/>
        <v>4412292</v>
      </c>
      <c r="N59" s="38">
        <v>4760000</v>
      </c>
      <c r="O59" s="54"/>
      <c r="P59" s="59">
        <f t="shared" si="7"/>
        <v>4760000</v>
      </c>
      <c r="Q59" s="97">
        <v>119565588.29000001</v>
      </c>
      <c r="R59" s="23">
        <f t="shared" si="8"/>
        <v>3.981078559539114E-2</v>
      </c>
      <c r="S59" s="105">
        <f t="shared" si="21"/>
        <v>37.983673404246829</v>
      </c>
      <c r="T59" s="105">
        <f t="shared" si="19"/>
        <v>37.983673404246829</v>
      </c>
    </row>
    <row r="60" spans="1:22" x14ac:dyDescent="0.25">
      <c r="A60" t="s">
        <v>29</v>
      </c>
      <c r="B60" s="146">
        <v>77089857</v>
      </c>
      <c r="C60" s="41">
        <v>78892</v>
      </c>
      <c r="D60" s="16">
        <f t="shared" si="14"/>
        <v>44.795416518785174</v>
      </c>
      <c r="E60" s="20">
        <v>3534000</v>
      </c>
      <c r="F60" s="13">
        <f t="shared" si="15"/>
        <v>4.5842606764726519E-2</v>
      </c>
      <c r="G60" s="20">
        <v>2285000</v>
      </c>
      <c r="H60" s="14">
        <f t="shared" si="16"/>
        <v>0.64657611771363899</v>
      </c>
      <c r="I60" s="20">
        <v>79000</v>
      </c>
      <c r="J60" s="14">
        <f t="shared" si="17"/>
        <v>2.2354272778720995E-2</v>
      </c>
      <c r="K60" s="39">
        <v>1170000</v>
      </c>
      <c r="L60" s="15">
        <f t="shared" si="18"/>
        <v>0.33106960950764008</v>
      </c>
      <c r="M60" s="19">
        <f t="shared" si="20"/>
        <v>3534000</v>
      </c>
      <c r="N60" s="38">
        <v>2060000</v>
      </c>
      <c r="O60" s="54">
        <v>1350000</v>
      </c>
      <c r="P60" s="59">
        <f t="shared" si="7"/>
        <v>3410000</v>
      </c>
      <c r="Q60" s="97">
        <v>78483544</v>
      </c>
      <c r="R60" s="23">
        <f t="shared" si="8"/>
        <v>4.3448598600491335E-2</v>
      </c>
      <c r="S60" s="105">
        <f t="shared" si="21"/>
        <v>43.223647518126043</v>
      </c>
      <c r="T60" s="105">
        <f t="shared" si="19"/>
        <v>26.111646301272625</v>
      </c>
    </row>
    <row r="61" spans="1:22" x14ac:dyDescent="0.25">
      <c r="A61" t="s">
        <v>26</v>
      </c>
      <c r="B61" s="146">
        <v>57192665</v>
      </c>
      <c r="C61" s="41">
        <v>62389</v>
      </c>
      <c r="D61" s="16">
        <f t="shared" si="14"/>
        <v>63.250412733013832</v>
      </c>
      <c r="E61" s="39">
        <v>3946130</v>
      </c>
      <c r="F61" s="13">
        <f t="shared" si="15"/>
        <v>6.8997134510168395E-2</v>
      </c>
      <c r="G61" s="20">
        <v>2899440</v>
      </c>
      <c r="H61" s="14">
        <f t="shared" si="16"/>
        <v>0.73475531723486054</v>
      </c>
      <c r="I61" s="20">
        <v>106690</v>
      </c>
      <c r="J61" s="14">
        <f t="shared" si="17"/>
        <v>2.7036615620874123E-2</v>
      </c>
      <c r="K61" s="20">
        <v>940000</v>
      </c>
      <c r="L61" s="15">
        <f t="shared" si="18"/>
        <v>0.2382080671442654</v>
      </c>
      <c r="M61" s="19">
        <f t="shared" si="20"/>
        <v>3946130</v>
      </c>
      <c r="N61" s="38">
        <v>2821568</v>
      </c>
      <c r="O61" s="54"/>
      <c r="P61" s="59">
        <f t="shared" si="7"/>
        <v>2821568</v>
      </c>
      <c r="Q61" s="97">
        <v>57192665</v>
      </c>
      <c r="R61" s="23">
        <f t="shared" si="8"/>
        <v>4.9334438253576751E-2</v>
      </c>
      <c r="S61" s="105">
        <f t="shared" si="21"/>
        <v>45.225408325185526</v>
      </c>
      <c r="T61" s="105">
        <f t="shared" si="19"/>
        <v>45.225408325185526</v>
      </c>
    </row>
    <row r="62" spans="1:22" x14ac:dyDescent="0.25">
      <c r="A62" t="s">
        <v>22</v>
      </c>
      <c r="B62" s="146">
        <v>58520350</v>
      </c>
      <c r="C62" s="41">
        <v>58149</v>
      </c>
      <c r="D62" s="16">
        <f t="shared" si="14"/>
        <v>57.268792240623227</v>
      </c>
      <c r="E62" s="20">
        <v>3330123</v>
      </c>
      <c r="F62" s="13">
        <f t="shared" si="15"/>
        <v>5.6905384195412363E-2</v>
      </c>
      <c r="G62" s="20">
        <v>3330123</v>
      </c>
      <c r="H62" s="14">
        <f t="shared" si="16"/>
        <v>1</v>
      </c>
      <c r="I62" s="20"/>
      <c r="J62" s="14">
        <f t="shared" si="17"/>
        <v>0</v>
      </c>
      <c r="K62" s="20"/>
      <c r="L62" s="15">
        <f t="shared" si="18"/>
        <v>0</v>
      </c>
      <c r="M62" s="19">
        <f t="shared" si="20"/>
        <v>3330123</v>
      </c>
      <c r="N62" s="38">
        <v>2600000</v>
      </c>
      <c r="O62" s="54"/>
      <c r="P62" s="59">
        <f t="shared" si="7"/>
        <v>2600000</v>
      </c>
      <c r="Q62" s="97">
        <v>58608352</v>
      </c>
      <c r="R62" s="23">
        <f t="shared" si="8"/>
        <v>4.4362277922436723E-2</v>
      </c>
      <c r="S62" s="105">
        <f t="shared" si="21"/>
        <v>44.712720769058798</v>
      </c>
      <c r="T62" s="105">
        <f t="shared" si="19"/>
        <v>44.712720769058798</v>
      </c>
    </row>
    <row r="63" spans="1:22" x14ac:dyDescent="0.25">
      <c r="A63" t="s">
        <v>21</v>
      </c>
      <c r="B63" s="146">
        <v>69359856</v>
      </c>
      <c r="C63" s="41">
        <v>51756</v>
      </c>
      <c r="D63" s="16">
        <f t="shared" si="14"/>
        <v>65.051568900224126</v>
      </c>
      <c r="E63" s="39">
        <v>3366809</v>
      </c>
      <c r="F63" s="13">
        <f t="shared" si="15"/>
        <v>4.8541176325394911E-2</v>
      </c>
      <c r="G63" s="20">
        <v>2402401</v>
      </c>
      <c r="H63" s="14">
        <f t="shared" si="16"/>
        <v>0.71355428834840351</v>
      </c>
      <c r="I63" s="20"/>
      <c r="J63" s="14">
        <f t="shared" si="17"/>
        <v>0</v>
      </c>
      <c r="K63" s="20">
        <v>964408</v>
      </c>
      <c r="L63" s="15">
        <f t="shared" si="18"/>
        <v>0.28644571165159649</v>
      </c>
      <c r="M63" s="19">
        <f t="shared" si="20"/>
        <v>3366809</v>
      </c>
      <c r="N63" s="38">
        <v>3414498</v>
      </c>
      <c r="O63" s="54"/>
      <c r="P63" s="59">
        <f t="shared" si="7"/>
        <v>3414498</v>
      </c>
      <c r="Q63" s="97">
        <v>69597581</v>
      </c>
      <c r="R63" s="23">
        <f t="shared" si="8"/>
        <v>4.9060584447611764E-2</v>
      </c>
      <c r="S63" s="105">
        <f t="shared" si="21"/>
        <v>65.972988638998373</v>
      </c>
      <c r="T63" s="105">
        <f t="shared" si="19"/>
        <v>65.972988638998373</v>
      </c>
    </row>
    <row r="64" spans="1:22" ht="15.75" thickBot="1" x14ac:dyDescent="0.3">
      <c r="A64" t="s">
        <v>27</v>
      </c>
      <c r="B64" s="146">
        <v>53360000</v>
      </c>
      <c r="C64" s="41">
        <v>38881</v>
      </c>
      <c r="D64" s="16">
        <f t="shared" si="14"/>
        <v>43.774594274838613</v>
      </c>
      <c r="E64" s="20">
        <v>1702000</v>
      </c>
      <c r="F64" s="13">
        <f t="shared" si="15"/>
        <v>3.1896551724137932E-2</v>
      </c>
      <c r="G64" s="20">
        <v>1660000</v>
      </c>
      <c r="H64" s="14">
        <f t="shared" si="16"/>
        <v>0.97532314923619268</v>
      </c>
      <c r="I64" s="20">
        <v>42000</v>
      </c>
      <c r="J64" s="14">
        <f t="shared" si="17"/>
        <v>2.4676850763807285E-2</v>
      </c>
      <c r="K64" s="20"/>
      <c r="L64" s="15">
        <f t="shared" si="18"/>
        <v>0</v>
      </c>
      <c r="M64" s="19">
        <f t="shared" si="20"/>
        <v>1702000</v>
      </c>
      <c r="N64" s="38">
        <v>1660000</v>
      </c>
      <c r="O64" s="54"/>
      <c r="P64" s="59">
        <f t="shared" si="7"/>
        <v>1660000</v>
      </c>
      <c r="Q64" s="97">
        <v>53360000</v>
      </c>
      <c r="R64" s="23">
        <f t="shared" si="8"/>
        <v>3.1109445277361321E-2</v>
      </c>
      <c r="S64" s="105">
        <f t="shared" si="21"/>
        <v>42.694375144672208</v>
      </c>
      <c r="T64" s="105">
        <f t="shared" si="19"/>
        <v>42.694375144672208</v>
      </c>
    </row>
    <row r="65" spans="1:22" ht="15.75" thickBot="1" x14ac:dyDescent="0.3">
      <c r="A65" s="24"/>
      <c r="B65" s="33"/>
      <c r="C65" s="28"/>
      <c r="D65" s="188">
        <f>SUM(D56:D64)</f>
        <v>453.19448351592973</v>
      </c>
      <c r="E65" s="20"/>
      <c r="F65" s="15">
        <f>SUM(F56:F64)</f>
        <v>0.42879994763513529</v>
      </c>
      <c r="G65" s="20"/>
      <c r="H65" s="14"/>
      <c r="I65" s="20"/>
      <c r="J65" s="14"/>
      <c r="K65" s="20"/>
      <c r="L65" s="15"/>
      <c r="M65" s="19"/>
      <c r="N65" s="12"/>
      <c r="P65" s="59">
        <f t="shared" si="7"/>
        <v>0</v>
      </c>
      <c r="R65" s="23">
        <f>SUM(R57:R64)</f>
        <v>0.3985940049663923</v>
      </c>
      <c r="S65" s="105"/>
      <c r="T65" s="105" t="e">
        <f t="shared" si="19"/>
        <v>#DIV/0!</v>
      </c>
    </row>
    <row r="66" spans="1:22" x14ac:dyDescent="0.25">
      <c r="A66" s="4"/>
      <c r="B66" s="43"/>
      <c r="C66" s="119" t="s">
        <v>98</v>
      </c>
      <c r="D66" s="123">
        <f>(D56+D57+D59+D58+D60+D61+D63+D62+D64)/9</f>
        <v>50.354942612881082</v>
      </c>
      <c r="E66" s="160" t="s">
        <v>97</v>
      </c>
      <c r="F66" s="161">
        <f>(F56+F57+F58+F59+F60+F61+F62+F63+F64)/9</f>
        <v>4.7644438626126141E-2</v>
      </c>
      <c r="G66" s="20"/>
      <c r="H66" s="14"/>
      <c r="I66" s="20"/>
      <c r="J66" s="14"/>
      <c r="K66" s="20"/>
      <c r="L66" s="15"/>
      <c r="M66" s="19"/>
      <c r="N66" t="s">
        <v>100</v>
      </c>
      <c r="O66" t="s">
        <v>101</v>
      </c>
      <c r="P66" s="59" t="e">
        <f t="shared" si="7"/>
        <v>#VALUE!</v>
      </c>
      <c r="R66" s="23"/>
      <c r="S66" s="105"/>
      <c r="T66" s="105" t="e">
        <f t="shared" si="19"/>
        <v>#VALUE!</v>
      </c>
    </row>
    <row r="67" spans="1:22" ht="15.75" x14ac:dyDescent="0.25">
      <c r="A67" s="35" t="s">
        <v>78</v>
      </c>
      <c r="B67" s="35" t="s">
        <v>72</v>
      </c>
      <c r="C67" s="46" t="s">
        <v>0</v>
      </c>
      <c r="D67" s="45" t="s">
        <v>63</v>
      </c>
      <c r="E67" s="45" t="s">
        <v>71</v>
      </c>
      <c r="F67" s="45" t="s">
        <v>61</v>
      </c>
      <c r="G67" s="45" t="s">
        <v>66</v>
      </c>
      <c r="H67" s="46" t="s">
        <v>67</v>
      </c>
      <c r="I67" s="45" t="s">
        <v>64</v>
      </c>
      <c r="J67" s="46" t="s">
        <v>67</v>
      </c>
      <c r="K67" s="45" t="s">
        <v>65</v>
      </c>
      <c r="L67" s="46" t="s">
        <v>67</v>
      </c>
      <c r="M67" s="45" t="s">
        <v>70</v>
      </c>
      <c r="N67" s="63" t="s">
        <v>99</v>
      </c>
      <c r="O67" s="63" t="s">
        <v>102</v>
      </c>
      <c r="P67" s="64" t="s">
        <v>104</v>
      </c>
      <c r="Q67" s="65" t="s">
        <v>105</v>
      </c>
      <c r="R67" s="66" t="s">
        <v>61</v>
      </c>
      <c r="S67" s="137" t="s">
        <v>111</v>
      </c>
      <c r="T67" s="138" t="s">
        <v>112</v>
      </c>
      <c r="V67" s="105">
        <f>(S68+S69+S70+S71+S72)</f>
        <v>258.67454001688247</v>
      </c>
    </row>
    <row r="68" spans="1:22" x14ac:dyDescent="0.25">
      <c r="A68" s="55" t="s">
        <v>37</v>
      </c>
      <c r="B68" s="146">
        <v>152367265</v>
      </c>
      <c r="C68" s="3">
        <v>172816</v>
      </c>
      <c r="D68" s="16">
        <f>(E68/C68)</f>
        <v>44.120810573095085</v>
      </c>
      <c r="E68" s="20">
        <v>7624782</v>
      </c>
      <c r="F68" s="13">
        <f>(E68/B68)</f>
        <v>5.0042126830851755E-2</v>
      </c>
      <c r="G68" s="20">
        <v>5155904</v>
      </c>
      <c r="H68" s="14">
        <f>(G68/E68)</f>
        <v>0.67620346391542741</v>
      </c>
      <c r="I68" s="20"/>
      <c r="J68" s="14">
        <f>(I68/E68)</f>
        <v>0</v>
      </c>
      <c r="K68" s="20">
        <v>2468878</v>
      </c>
      <c r="L68" s="15">
        <f>(K68/E68)</f>
        <v>0.32379653608457265</v>
      </c>
      <c r="M68" s="19">
        <f>G68+I68+K68</f>
        <v>7624782</v>
      </c>
      <c r="N68" s="38">
        <v>8850000</v>
      </c>
      <c r="O68" s="54"/>
      <c r="P68" s="59">
        <f t="shared" si="7"/>
        <v>8850000</v>
      </c>
      <c r="Q68" s="98">
        <v>155646964</v>
      </c>
      <c r="R68" s="23">
        <f t="shared" si="8"/>
        <v>5.6859445070833507E-2</v>
      </c>
      <c r="S68" s="105">
        <f>(P68/C68)</f>
        <v>51.210536061475793</v>
      </c>
      <c r="T68" s="105">
        <f t="shared" ref="T68:T74" si="22">(N68/C68)</f>
        <v>51.210536061475793</v>
      </c>
      <c r="V68">
        <v>5</v>
      </c>
    </row>
    <row r="69" spans="1:22" x14ac:dyDescent="0.25">
      <c r="A69" s="55" t="s">
        <v>36</v>
      </c>
      <c r="B69" s="146">
        <v>65006518</v>
      </c>
      <c r="C69" s="3">
        <v>84145</v>
      </c>
      <c r="D69" s="16">
        <f>(E69/C69)</f>
        <v>48.072969279220395</v>
      </c>
      <c r="E69" s="20">
        <v>4045100</v>
      </c>
      <c r="F69" s="13">
        <f>(E69/B69)</f>
        <v>6.2226067853688151E-2</v>
      </c>
      <c r="G69" s="20">
        <v>3365100</v>
      </c>
      <c r="H69" s="14">
        <f>(G69/E69)</f>
        <v>0.83189537959506565</v>
      </c>
      <c r="I69" s="20">
        <v>35000</v>
      </c>
      <c r="J69" s="14">
        <f>(I69/E69)</f>
        <v>8.6524436973127988E-3</v>
      </c>
      <c r="K69" s="20">
        <v>645000</v>
      </c>
      <c r="L69" s="15">
        <f>(K69/E69)</f>
        <v>0.15945217670762157</v>
      </c>
      <c r="M69" s="19">
        <f>G69+I69+K69</f>
        <v>4045100</v>
      </c>
      <c r="N69" s="38">
        <v>4590000</v>
      </c>
      <c r="O69" s="54"/>
      <c r="P69" s="59">
        <f t="shared" si="7"/>
        <v>4590000</v>
      </c>
      <c r="Q69" s="96">
        <v>66769618</v>
      </c>
      <c r="R69" s="23">
        <f t="shared" si="8"/>
        <v>6.8743840948738089E-2</v>
      </c>
      <c r="S69" s="105">
        <f>(P69/C69)</f>
        <v>54.548695703844551</v>
      </c>
      <c r="T69" s="105">
        <f t="shared" si="22"/>
        <v>54.548695703844551</v>
      </c>
    </row>
    <row r="70" spans="1:22" x14ac:dyDescent="0.25">
      <c r="A70" s="55" t="s">
        <v>94</v>
      </c>
      <c r="B70" s="146">
        <v>85500000</v>
      </c>
      <c r="C70" s="3">
        <v>83741</v>
      </c>
      <c r="D70" s="16">
        <f>(E70/C70)</f>
        <v>44.610847732890697</v>
      </c>
      <c r="E70" s="20">
        <v>3735757</v>
      </c>
      <c r="F70" s="13">
        <f>(E70/B70)</f>
        <v>4.3693064327485383E-2</v>
      </c>
      <c r="G70" s="20">
        <v>2517064</v>
      </c>
      <c r="H70" s="14">
        <f>(G70/E70)</f>
        <v>0.67377615835291216</v>
      </c>
      <c r="I70" s="20"/>
      <c r="J70" s="14">
        <f>(I70/E70)</f>
        <v>0</v>
      </c>
      <c r="K70" s="20">
        <v>1218693</v>
      </c>
      <c r="L70" s="15">
        <f>(K70/E70)</f>
        <v>0.32622384164708784</v>
      </c>
      <c r="M70" s="19">
        <f>G70+I70+K70</f>
        <v>3735757</v>
      </c>
      <c r="N70" s="38">
        <v>2700195</v>
      </c>
      <c r="O70" s="54">
        <v>1100000</v>
      </c>
      <c r="P70" s="59">
        <f t="shared" si="7"/>
        <v>3800195</v>
      </c>
      <c r="Q70" s="96">
        <v>88274652</v>
      </c>
      <c r="R70" s="23">
        <f t="shared" si="8"/>
        <v>4.3049674101235766E-2</v>
      </c>
      <c r="S70" s="105">
        <f>(P70/C70)</f>
        <v>45.38033937975424</v>
      </c>
      <c r="T70" s="105">
        <f t="shared" si="22"/>
        <v>32.244599419639123</v>
      </c>
    </row>
    <row r="71" spans="1:22" x14ac:dyDescent="0.25">
      <c r="A71" s="55" t="s">
        <v>152</v>
      </c>
      <c r="B71" s="146">
        <v>70113310</v>
      </c>
      <c r="C71" s="3">
        <v>74641</v>
      </c>
      <c r="D71" s="145">
        <f>(E71/C71)</f>
        <v>34.163529427526427</v>
      </c>
      <c r="E71" s="20">
        <v>2550000</v>
      </c>
      <c r="F71" s="13">
        <f>(E71/B71)</f>
        <v>3.6369699276784961E-2</v>
      </c>
      <c r="G71" s="20">
        <v>2530000</v>
      </c>
      <c r="H71" s="14">
        <f>(G71/E71)</f>
        <v>0.99215686274509807</v>
      </c>
      <c r="I71" s="20"/>
      <c r="J71" s="14">
        <f>(I71/E71)</f>
        <v>0</v>
      </c>
      <c r="K71" s="20"/>
      <c r="L71" s="15">
        <f>(K71/E71)</f>
        <v>0</v>
      </c>
      <c r="M71" s="19">
        <f>G71+I71+K71</f>
        <v>2530000</v>
      </c>
      <c r="N71" s="104">
        <v>3600000</v>
      </c>
      <c r="O71">
        <v>0</v>
      </c>
      <c r="P71" s="59">
        <f t="shared" si="7"/>
        <v>3600000</v>
      </c>
      <c r="Q71" s="96">
        <v>71197810</v>
      </c>
      <c r="R71" s="23">
        <f t="shared" si="8"/>
        <v>5.0563353002009474E-2</v>
      </c>
      <c r="S71" s="105">
        <f>(P71/C71)</f>
        <v>48.230865074154956</v>
      </c>
      <c r="T71" s="105">
        <f t="shared" si="22"/>
        <v>48.230865074154956</v>
      </c>
    </row>
    <row r="72" spans="1:22" ht="15.75" thickBot="1" x14ac:dyDescent="0.3">
      <c r="A72" s="55" t="s">
        <v>35</v>
      </c>
      <c r="B72" s="98">
        <v>56141536</v>
      </c>
      <c r="C72" s="3">
        <v>54876</v>
      </c>
      <c r="D72" s="16">
        <f>(E72/C72)</f>
        <v>41.90068518113565</v>
      </c>
      <c r="E72" s="20">
        <v>2299342</v>
      </c>
      <c r="F72" s="13">
        <f>(E72/B72)</f>
        <v>4.0956164790361273E-2</v>
      </c>
      <c r="G72" s="20">
        <v>1766342</v>
      </c>
      <c r="H72" s="14">
        <f>(G72/E72)</f>
        <v>0.76819455305039441</v>
      </c>
      <c r="I72" s="20"/>
      <c r="J72" s="14">
        <f>(I72/E72)</f>
        <v>0</v>
      </c>
      <c r="K72" s="20">
        <v>533000</v>
      </c>
      <c r="L72" s="23">
        <f>(K72/E72)</f>
        <v>0.23180544694960559</v>
      </c>
      <c r="M72" s="19">
        <f>G72+I72+K72</f>
        <v>2299342</v>
      </c>
      <c r="N72" s="38">
        <v>3253372</v>
      </c>
      <c r="O72" s="54">
        <v>1000</v>
      </c>
      <c r="P72" s="59">
        <f t="shared" si="7"/>
        <v>3254372</v>
      </c>
      <c r="Q72" s="96">
        <v>57239306</v>
      </c>
      <c r="R72" s="23">
        <f t="shared" si="8"/>
        <v>5.6855546082267318E-2</v>
      </c>
      <c r="S72" s="105">
        <f>(P72/C72)</f>
        <v>59.304103797652893</v>
      </c>
      <c r="T72" s="105">
        <f t="shared" si="22"/>
        <v>59.285880895108974</v>
      </c>
    </row>
    <row r="73" spans="1:22" ht="15.75" thickBot="1" x14ac:dyDescent="0.3">
      <c r="A73" s="24"/>
      <c r="B73" s="33"/>
      <c r="C73" s="28"/>
      <c r="D73" s="188">
        <f>SUM(D68:D72)</f>
        <v>212.86884219386826</v>
      </c>
      <c r="E73" s="20"/>
      <c r="F73" s="15">
        <f>SUM(F68:F72)</f>
        <v>0.23328712307917152</v>
      </c>
      <c r="G73" s="20"/>
      <c r="H73" s="14"/>
      <c r="I73" s="20"/>
      <c r="J73" s="14"/>
      <c r="K73" s="20"/>
      <c r="L73" s="15"/>
      <c r="M73" s="19"/>
      <c r="N73" s="12"/>
      <c r="P73" s="59">
        <f t="shared" si="7"/>
        <v>0</v>
      </c>
      <c r="R73" s="23">
        <f>SUM(R68:R72)</f>
        <v>0.2760718592050842</v>
      </c>
      <c r="S73" s="105"/>
      <c r="T73" s="105" t="e">
        <f t="shared" si="22"/>
        <v>#DIV/0!</v>
      </c>
    </row>
    <row r="74" spans="1:22" x14ac:dyDescent="0.25">
      <c r="A74" s="42"/>
      <c r="B74" s="43"/>
      <c r="C74" s="117" t="s">
        <v>98</v>
      </c>
      <c r="D74" s="118">
        <f>(D68+D69+D70+D71+D72)/5</f>
        <v>42.573768438773655</v>
      </c>
      <c r="E74" s="160" t="s">
        <v>97</v>
      </c>
      <c r="F74" s="161">
        <f>F73/5</f>
        <v>4.6657424615834303E-2</v>
      </c>
      <c r="G74" s="20"/>
      <c r="H74" s="14"/>
      <c r="I74" s="20"/>
      <c r="J74" s="14"/>
      <c r="K74" s="20"/>
      <c r="L74" s="15"/>
      <c r="M74" s="19"/>
      <c r="N74" s="12"/>
      <c r="P74" s="59">
        <f t="shared" si="7"/>
        <v>0</v>
      </c>
      <c r="R74" s="23"/>
      <c r="S74" s="105"/>
      <c r="T74" s="105" t="e">
        <f t="shared" si="22"/>
        <v>#VALUE!</v>
      </c>
    </row>
    <row r="75" spans="1:22" ht="15.75" x14ac:dyDescent="0.25">
      <c r="A75" s="35" t="s">
        <v>79</v>
      </c>
      <c r="B75" s="35" t="s">
        <v>72</v>
      </c>
      <c r="C75" s="46" t="s">
        <v>0</v>
      </c>
      <c r="D75" s="45" t="s">
        <v>63</v>
      </c>
      <c r="E75" s="45" t="s">
        <v>69</v>
      </c>
      <c r="F75" s="45" t="s">
        <v>61</v>
      </c>
      <c r="G75" s="45" t="s">
        <v>66</v>
      </c>
      <c r="H75" s="46" t="s">
        <v>67</v>
      </c>
      <c r="I75" s="45" t="s">
        <v>64</v>
      </c>
      <c r="J75" s="46" t="s">
        <v>67</v>
      </c>
      <c r="K75" s="45" t="s">
        <v>65</v>
      </c>
      <c r="L75" s="46" t="s">
        <v>67</v>
      </c>
      <c r="M75" s="47"/>
      <c r="N75" s="63" t="s">
        <v>99</v>
      </c>
      <c r="O75" s="63" t="s">
        <v>102</v>
      </c>
      <c r="P75" s="64" t="s">
        <v>104</v>
      </c>
      <c r="Q75" s="65" t="s">
        <v>105</v>
      </c>
      <c r="R75" s="66" t="s">
        <v>61</v>
      </c>
      <c r="S75" s="137" t="s">
        <v>111</v>
      </c>
      <c r="T75" s="138" t="s">
        <v>112</v>
      </c>
    </row>
    <row r="76" spans="1:22" x14ac:dyDescent="0.25">
      <c r="A76" t="s">
        <v>5</v>
      </c>
      <c r="B76" s="147">
        <v>2736183653</v>
      </c>
      <c r="C76" s="3">
        <v>1620809</v>
      </c>
      <c r="D76" s="16">
        <f t="shared" ref="D76:D86" si="23">(E76/C76)</f>
        <v>68.587807693565381</v>
      </c>
      <c r="E76" s="17">
        <v>111167736</v>
      </c>
      <c r="F76" s="13">
        <f t="shared" ref="F76:F86" si="24">(E76/B76)</f>
        <v>4.0628755265792828E-2</v>
      </c>
      <c r="G76" s="19">
        <v>98538648</v>
      </c>
      <c r="H76" s="14">
        <f t="shared" ref="H76:H86" si="25">(G76/E76)</f>
        <v>0.88639610327226592</v>
      </c>
      <c r="I76" s="19">
        <v>4809562</v>
      </c>
      <c r="J76" s="14">
        <f t="shared" ref="J76:J86" si="26">(I76/E76)</f>
        <v>4.3264009622360211E-2</v>
      </c>
      <c r="K76" s="21">
        <v>7819526</v>
      </c>
      <c r="L76" s="23">
        <f t="shared" ref="L76:L86" si="27">(K76/E76)</f>
        <v>7.0339887105373811E-2</v>
      </c>
      <c r="M76" s="19">
        <f>G76+I76+K76</f>
        <v>111167736</v>
      </c>
      <c r="N76" s="38" t="s">
        <v>109</v>
      </c>
      <c r="O76" s="106"/>
      <c r="P76" s="59" t="e">
        <f t="shared" si="7"/>
        <v>#VALUE!</v>
      </c>
      <c r="Q76" s="99">
        <v>2787108337</v>
      </c>
      <c r="R76" s="23"/>
      <c r="S76" s="105"/>
      <c r="T76" s="105" t="e">
        <f t="shared" ref="T76:T88" si="28">(N76/C76)</f>
        <v>#VALUE!</v>
      </c>
    </row>
    <row r="77" spans="1:22" x14ac:dyDescent="0.25">
      <c r="A77" t="s">
        <v>16</v>
      </c>
      <c r="B77" s="146">
        <v>236400000</v>
      </c>
      <c r="C77" s="3">
        <v>257349</v>
      </c>
      <c r="D77" s="16">
        <f t="shared" si="23"/>
        <v>49.215337926317957</v>
      </c>
      <c r="E77" s="30">
        <v>12665518</v>
      </c>
      <c r="F77" s="13">
        <f t="shared" si="24"/>
        <v>5.357664128595601E-2</v>
      </c>
      <c r="G77" s="30">
        <v>12665518</v>
      </c>
      <c r="H77" s="14">
        <f t="shared" si="25"/>
        <v>1</v>
      </c>
      <c r="I77" s="19"/>
      <c r="J77" s="14">
        <f t="shared" si="26"/>
        <v>0</v>
      </c>
      <c r="K77" s="20"/>
      <c r="L77" s="23">
        <f t="shared" si="27"/>
        <v>0</v>
      </c>
      <c r="M77" s="19">
        <f t="shared" ref="M77:M86" si="29">G77+I77+K77</f>
        <v>12665518</v>
      </c>
      <c r="N77" s="38" t="s">
        <v>109</v>
      </c>
      <c r="O77">
        <v>0</v>
      </c>
      <c r="P77" s="59" t="e">
        <f t="shared" si="7"/>
        <v>#VALUE!</v>
      </c>
      <c r="Q77" s="96">
        <v>236400000</v>
      </c>
      <c r="R77" s="23"/>
      <c r="S77" s="105"/>
      <c r="T77" s="105" t="e">
        <f t="shared" si="28"/>
        <v>#VALUE!</v>
      </c>
    </row>
    <row r="78" spans="1:22" x14ac:dyDescent="0.25">
      <c r="A78" t="s">
        <v>6</v>
      </c>
      <c r="B78" s="146">
        <v>174571502</v>
      </c>
      <c r="C78" s="3">
        <v>215848</v>
      </c>
      <c r="D78" s="16">
        <f t="shared" si="23"/>
        <v>47.440791668210963</v>
      </c>
      <c r="E78" s="31">
        <v>10240000</v>
      </c>
      <c r="F78" s="13">
        <f t="shared" si="24"/>
        <v>5.8657913134069269E-2</v>
      </c>
      <c r="G78" s="19">
        <v>10150000</v>
      </c>
      <c r="H78" s="14">
        <f t="shared" si="25"/>
        <v>0.9912109375</v>
      </c>
      <c r="I78" s="19">
        <v>90000</v>
      </c>
      <c r="J78" s="14">
        <f t="shared" si="26"/>
        <v>8.7890625E-3</v>
      </c>
      <c r="K78" s="20"/>
      <c r="L78" s="23">
        <f t="shared" si="27"/>
        <v>0</v>
      </c>
      <c r="M78" s="19">
        <f t="shared" si="29"/>
        <v>10240000</v>
      </c>
      <c r="N78" s="12" t="s">
        <v>109</v>
      </c>
      <c r="P78" s="59" t="e">
        <f t="shared" si="7"/>
        <v>#VALUE!</v>
      </c>
      <c r="Q78" s="98">
        <v>191815884</v>
      </c>
      <c r="R78" s="23"/>
      <c r="S78" s="105"/>
      <c r="T78" s="105" t="e">
        <f t="shared" si="28"/>
        <v>#VALUE!</v>
      </c>
      <c r="V78" s="105">
        <f>(S79+S80+S81+S82+S83+S85+S86)</f>
        <v>437.01118231243299</v>
      </c>
    </row>
    <row r="79" spans="1:22" x14ac:dyDescent="0.25">
      <c r="A79" t="s">
        <v>73</v>
      </c>
      <c r="B79" s="146">
        <v>186153524</v>
      </c>
      <c r="C79" s="3">
        <v>216428</v>
      </c>
      <c r="D79" s="16">
        <f t="shared" si="23"/>
        <v>59.898446596558671</v>
      </c>
      <c r="E79" s="30">
        <v>12963701</v>
      </c>
      <c r="F79" s="13">
        <f t="shared" si="24"/>
        <v>6.9639836632907362E-2</v>
      </c>
      <c r="G79" s="19">
        <v>12693571</v>
      </c>
      <c r="H79" s="14">
        <f t="shared" si="25"/>
        <v>0.97916258636326159</v>
      </c>
      <c r="I79" s="19">
        <v>270130</v>
      </c>
      <c r="J79" s="14">
        <f t="shared" si="26"/>
        <v>2.083741363673846E-2</v>
      </c>
      <c r="K79" s="20"/>
      <c r="L79" s="23">
        <f t="shared" si="27"/>
        <v>0</v>
      </c>
      <c r="M79" s="19">
        <f t="shared" si="29"/>
        <v>12963701</v>
      </c>
      <c r="N79" s="38">
        <v>0</v>
      </c>
      <c r="O79" s="54">
        <v>11467000</v>
      </c>
      <c r="P79" s="59">
        <f t="shared" si="7"/>
        <v>11467000</v>
      </c>
      <c r="Q79" s="98">
        <v>186153524</v>
      </c>
      <c r="R79" s="23">
        <f t="shared" si="8"/>
        <v>6.1599693379965237E-2</v>
      </c>
      <c r="S79" s="105">
        <f>(P79/C79)</f>
        <v>52.982978172879662</v>
      </c>
      <c r="T79" s="105">
        <f t="shared" si="28"/>
        <v>0</v>
      </c>
      <c r="V79">
        <v>7</v>
      </c>
    </row>
    <row r="80" spans="1:22" x14ac:dyDescent="0.25">
      <c r="A80" t="s">
        <v>14</v>
      </c>
      <c r="B80" s="146">
        <v>200426000</v>
      </c>
      <c r="C80" s="3">
        <v>209931</v>
      </c>
      <c r="D80" s="16">
        <f t="shared" si="23"/>
        <v>80.607985480943739</v>
      </c>
      <c r="E80" s="30">
        <v>16922115</v>
      </c>
      <c r="F80" s="13">
        <f t="shared" si="24"/>
        <v>8.4430737529063091E-2</v>
      </c>
      <c r="G80" s="19">
        <v>11183416</v>
      </c>
      <c r="H80" s="14">
        <f t="shared" si="25"/>
        <v>0.66087578296211791</v>
      </c>
      <c r="I80" s="19">
        <v>22719</v>
      </c>
      <c r="J80" s="14">
        <f t="shared" si="26"/>
        <v>1.3425626761193858E-3</v>
      </c>
      <c r="K80" s="20">
        <v>5715980</v>
      </c>
      <c r="L80" s="23">
        <f t="shared" si="27"/>
        <v>0.33778165436176272</v>
      </c>
      <c r="M80" s="19">
        <f t="shared" si="29"/>
        <v>16922115</v>
      </c>
      <c r="N80" s="38">
        <v>0</v>
      </c>
      <c r="O80" s="54">
        <v>7275040</v>
      </c>
      <c r="P80" s="59">
        <f t="shared" ref="P80:P151" si="30">(N80+O80)</f>
        <v>7275040</v>
      </c>
      <c r="Q80" s="93">
        <v>200478315</v>
      </c>
      <c r="R80" s="23">
        <f>(P80/Q80)</f>
        <v>3.6288413537394308E-2</v>
      </c>
      <c r="S80" s="105">
        <f>(P80/C80)</f>
        <v>34.654434075958292</v>
      </c>
      <c r="T80" s="105">
        <f t="shared" si="28"/>
        <v>0</v>
      </c>
    </row>
    <row r="81" spans="1:22" x14ac:dyDescent="0.25">
      <c r="A81" t="s">
        <v>13</v>
      </c>
      <c r="B81" s="146">
        <v>170507073</v>
      </c>
      <c r="C81" s="3">
        <v>137327</v>
      </c>
      <c r="D81" s="16">
        <f t="shared" si="23"/>
        <v>61.677601636968696</v>
      </c>
      <c r="E81" s="30">
        <v>8470000</v>
      </c>
      <c r="F81" s="13">
        <f t="shared" si="24"/>
        <v>4.9675358628671083E-2</v>
      </c>
      <c r="G81" s="19">
        <v>5730000</v>
      </c>
      <c r="H81" s="14">
        <f t="shared" si="25"/>
        <v>0.67650531286894922</v>
      </c>
      <c r="I81" s="19">
        <v>350000</v>
      </c>
      <c r="J81" s="14">
        <f t="shared" si="26"/>
        <v>4.1322314049586778E-2</v>
      </c>
      <c r="K81" s="20">
        <v>2390000</v>
      </c>
      <c r="L81" s="23">
        <f t="shared" si="27"/>
        <v>0.28217237308146398</v>
      </c>
      <c r="M81" s="19">
        <f t="shared" si="29"/>
        <v>8470000</v>
      </c>
      <c r="N81" s="38">
        <v>5500000</v>
      </c>
      <c r="O81" s="54">
        <v>706970</v>
      </c>
      <c r="P81" s="59">
        <f t="shared" si="30"/>
        <v>6206970</v>
      </c>
      <c r="Q81" s="98">
        <v>171651695</v>
      </c>
      <c r="R81" s="23">
        <f>(P81/Q81)</f>
        <v>3.6160260462327502E-2</v>
      </c>
      <c r="S81" s="105">
        <f>(P81/C81)</f>
        <v>45.198467890509512</v>
      </c>
      <c r="T81" s="105">
        <f t="shared" si="28"/>
        <v>40.050390673356297</v>
      </c>
    </row>
    <row r="82" spans="1:22" x14ac:dyDescent="0.25">
      <c r="A82" t="s">
        <v>19</v>
      </c>
      <c r="B82" s="146">
        <v>162239649</v>
      </c>
      <c r="C82" s="3">
        <v>131507</v>
      </c>
      <c r="D82" s="16">
        <f t="shared" si="23"/>
        <v>103.16287345920749</v>
      </c>
      <c r="E82" s="31">
        <v>13566640</v>
      </c>
      <c r="F82" s="13">
        <f t="shared" si="24"/>
        <v>8.3620989589295772E-2</v>
      </c>
      <c r="G82" s="19">
        <v>10966640</v>
      </c>
      <c r="H82" s="14">
        <f t="shared" si="25"/>
        <v>0.80835343165293694</v>
      </c>
      <c r="I82" s="19"/>
      <c r="J82" s="14">
        <f t="shared" si="26"/>
        <v>0</v>
      </c>
      <c r="K82" s="20">
        <v>2600000</v>
      </c>
      <c r="L82" s="23">
        <f t="shared" si="27"/>
        <v>0.19164656834706309</v>
      </c>
      <c r="M82" s="19">
        <f t="shared" si="29"/>
        <v>13566640</v>
      </c>
      <c r="N82" s="38">
        <v>11000000</v>
      </c>
      <c r="O82" s="54"/>
      <c r="P82" s="59">
        <f t="shared" si="30"/>
        <v>11000000</v>
      </c>
      <c r="Q82" s="98">
        <v>165512237</v>
      </c>
      <c r="R82" s="23">
        <f>(P82/Q82)</f>
        <v>6.6460342747950416E-2</v>
      </c>
      <c r="S82" s="105">
        <f>(P82/C82)</f>
        <v>83.645737489259133</v>
      </c>
      <c r="T82" s="105">
        <f t="shared" si="28"/>
        <v>83.645737489259133</v>
      </c>
    </row>
    <row r="83" spans="1:22" x14ac:dyDescent="0.25">
      <c r="A83" t="s">
        <v>15</v>
      </c>
      <c r="B83" s="146">
        <v>134812906.03999999</v>
      </c>
      <c r="C83" s="3">
        <v>126127</v>
      </c>
      <c r="D83" s="16">
        <f t="shared" si="23"/>
        <v>53.677959516994775</v>
      </c>
      <c r="E83" s="30">
        <v>6770240</v>
      </c>
      <c r="F83" s="13">
        <f t="shared" si="24"/>
        <v>5.0219524219670922E-2</v>
      </c>
      <c r="G83" s="19">
        <v>3627333</v>
      </c>
      <c r="H83" s="14">
        <f t="shared" si="25"/>
        <v>0.5357761320130453</v>
      </c>
      <c r="I83" s="19">
        <v>363724</v>
      </c>
      <c r="J83" s="14">
        <f t="shared" si="26"/>
        <v>5.3723944793685308E-2</v>
      </c>
      <c r="K83" s="20">
        <v>2779183</v>
      </c>
      <c r="L83" s="23">
        <f t="shared" si="27"/>
        <v>0.41049992319326939</v>
      </c>
      <c r="M83" s="19">
        <f t="shared" si="29"/>
        <v>6770240</v>
      </c>
      <c r="N83" s="38">
        <v>5427625</v>
      </c>
      <c r="O83" s="54"/>
      <c r="P83" s="59">
        <f t="shared" si="30"/>
        <v>5427625</v>
      </c>
      <c r="Q83" s="98">
        <v>134812906.03999999</v>
      </c>
      <c r="R83" s="23">
        <f>(P83/Q83)</f>
        <v>4.0260425796248195E-2</v>
      </c>
      <c r="S83" s="105">
        <f>(P83/C83)</f>
        <v>43.033014342686343</v>
      </c>
      <c r="T83" s="105">
        <f t="shared" si="28"/>
        <v>43.033014342686343</v>
      </c>
    </row>
    <row r="84" spans="1:22" x14ac:dyDescent="0.25">
      <c r="A84" t="s">
        <v>18</v>
      </c>
      <c r="B84" s="146">
        <v>97706612</v>
      </c>
      <c r="C84" s="3">
        <v>117597</v>
      </c>
      <c r="D84" s="145">
        <f t="shared" si="23"/>
        <v>9.8429381701914167</v>
      </c>
      <c r="E84" s="31">
        <v>1157500</v>
      </c>
      <c r="F84" s="13">
        <f t="shared" si="24"/>
        <v>1.1846690580162579E-2</v>
      </c>
      <c r="G84" s="19">
        <v>1045000</v>
      </c>
      <c r="H84" s="14">
        <f t="shared" si="25"/>
        <v>0.90280777537796975</v>
      </c>
      <c r="I84" s="19">
        <v>112500</v>
      </c>
      <c r="J84" s="14">
        <f t="shared" si="26"/>
        <v>9.719222462203024E-2</v>
      </c>
      <c r="K84" s="22"/>
      <c r="L84" s="23">
        <f t="shared" si="27"/>
        <v>0</v>
      </c>
      <c r="M84" s="19">
        <f t="shared" si="29"/>
        <v>1157500</v>
      </c>
      <c r="N84" s="38" t="s">
        <v>109</v>
      </c>
      <c r="O84" s="54"/>
      <c r="P84" s="59" t="e">
        <f t="shared" si="30"/>
        <v>#VALUE!</v>
      </c>
      <c r="Q84" s="98">
        <v>98210498</v>
      </c>
      <c r="R84" s="23"/>
      <c r="S84" s="105"/>
      <c r="T84" s="105" t="e">
        <f t="shared" si="28"/>
        <v>#VALUE!</v>
      </c>
    </row>
    <row r="85" spans="1:22" x14ac:dyDescent="0.25">
      <c r="A85" t="s">
        <v>17</v>
      </c>
      <c r="B85" s="146">
        <v>102986839</v>
      </c>
      <c r="C85" s="3">
        <v>103123</v>
      </c>
      <c r="D85" s="16">
        <f t="shared" si="23"/>
        <v>72.055923508819561</v>
      </c>
      <c r="E85" s="30">
        <v>7430623</v>
      </c>
      <c r="F85" s="13">
        <f t="shared" si="24"/>
        <v>7.2151190114690289E-2</v>
      </c>
      <c r="G85" s="19">
        <v>506864</v>
      </c>
      <c r="H85" s="14">
        <f t="shared" si="25"/>
        <v>6.8212853753985364E-2</v>
      </c>
      <c r="I85" s="19">
        <v>5023759</v>
      </c>
      <c r="J85" s="14">
        <f t="shared" si="26"/>
        <v>0.67608853254969337</v>
      </c>
      <c r="K85" s="32">
        <v>1900000</v>
      </c>
      <c r="L85" s="23">
        <f t="shared" si="27"/>
        <v>0.2556986136963213</v>
      </c>
      <c r="M85" s="19">
        <f t="shared" si="29"/>
        <v>7430623</v>
      </c>
      <c r="N85" s="38">
        <v>7378540</v>
      </c>
      <c r="O85" s="54"/>
      <c r="P85" s="59">
        <f t="shared" si="30"/>
        <v>7378540</v>
      </c>
      <c r="Q85" s="98">
        <v>105486273</v>
      </c>
      <c r="R85" s="23">
        <f>(P85/Q85)</f>
        <v>6.994786895163127E-2</v>
      </c>
      <c r="S85" s="105">
        <f>(P85/C85)</f>
        <v>71.550866441046125</v>
      </c>
      <c r="T85" s="105">
        <f t="shared" si="28"/>
        <v>71.550866441046125</v>
      </c>
    </row>
    <row r="86" spans="1:22" ht="15.75" thickBot="1" x14ac:dyDescent="0.3">
      <c r="A86" t="s">
        <v>20</v>
      </c>
      <c r="B86" s="146">
        <v>109069037</v>
      </c>
      <c r="C86" s="3">
        <v>99013</v>
      </c>
      <c r="D86" s="16">
        <f t="shared" si="23"/>
        <v>85.296173229777906</v>
      </c>
      <c r="E86" s="30">
        <v>8445430</v>
      </c>
      <c r="F86" s="13">
        <f t="shared" si="24"/>
        <v>7.7431966324228205E-2</v>
      </c>
      <c r="G86" s="19">
        <v>6348612</v>
      </c>
      <c r="H86" s="14">
        <f t="shared" si="25"/>
        <v>0.75172158196799921</v>
      </c>
      <c r="I86" s="19"/>
      <c r="J86" s="14">
        <f t="shared" si="26"/>
        <v>0</v>
      </c>
      <c r="K86" s="20">
        <v>2096818</v>
      </c>
      <c r="L86" s="23">
        <f t="shared" si="27"/>
        <v>0.24827841803200074</v>
      </c>
      <c r="M86" s="19">
        <f t="shared" si="29"/>
        <v>8445430</v>
      </c>
      <c r="N86" s="38">
        <v>10465000</v>
      </c>
      <c r="O86" s="54">
        <v>25000</v>
      </c>
      <c r="P86" s="59">
        <f t="shared" si="30"/>
        <v>10490000</v>
      </c>
      <c r="Q86" s="98">
        <v>109613335</v>
      </c>
      <c r="R86" s="23">
        <f>(P86/Q86)</f>
        <v>9.5700035036795472E-2</v>
      </c>
      <c r="S86" s="105">
        <f>(P86/C86)</f>
        <v>105.94568390009393</v>
      </c>
      <c r="T86" s="105">
        <f t="shared" si="28"/>
        <v>105.69319180309657</v>
      </c>
    </row>
    <row r="87" spans="1:22" ht="15.75" thickBot="1" x14ac:dyDescent="0.3">
      <c r="A87" s="24"/>
      <c r="B87" s="33"/>
      <c r="C87" s="28"/>
      <c r="D87" s="188">
        <f>SUM(D76:D86)</f>
        <v>691.46383888755656</v>
      </c>
      <c r="E87" s="20"/>
      <c r="F87" s="13">
        <f>SUM(F76:F86)</f>
        <v>0.65187960330450745</v>
      </c>
      <c r="H87" s="14"/>
      <c r="J87" s="14"/>
      <c r="K87" s="20"/>
      <c r="L87" s="23"/>
      <c r="M87" s="19"/>
      <c r="N87" s="12"/>
      <c r="P87" s="59">
        <f t="shared" si="30"/>
        <v>0</v>
      </c>
      <c r="R87" s="23">
        <f>SUM(R79:R86)</f>
        <v>0.40641703991231243</v>
      </c>
      <c r="S87" s="105"/>
      <c r="T87" s="105" t="e">
        <f t="shared" si="28"/>
        <v>#DIV/0!</v>
      </c>
    </row>
    <row r="88" spans="1:22" x14ac:dyDescent="0.25">
      <c r="A88" s="4"/>
      <c r="B88" s="43"/>
      <c r="C88" s="117" t="s">
        <v>98</v>
      </c>
      <c r="D88" s="118">
        <f>(D76+D77+D78+D79+D80+D81+D82+D83+D84+D85+D86)/11</f>
        <v>62.860348989777869</v>
      </c>
      <c r="E88" s="160" t="s">
        <v>97</v>
      </c>
      <c r="F88" s="162">
        <f>F87/11</f>
        <v>5.9261782118591587E-2</v>
      </c>
      <c r="H88" s="14"/>
      <c r="J88" s="14"/>
      <c r="K88" s="20"/>
      <c r="L88" s="23"/>
      <c r="M88" s="19"/>
      <c r="N88" s="12"/>
      <c r="P88" s="59">
        <f t="shared" si="30"/>
        <v>0</v>
      </c>
      <c r="R88" s="23"/>
      <c r="S88" s="105"/>
      <c r="T88" s="105" t="e">
        <f t="shared" si="28"/>
        <v>#VALUE!</v>
      </c>
    </row>
    <row r="89" spans="1:22" ht="15.75" x14ac:dyDescent="0.25">
      <c r="A89" s="35" t="s">
        <v>135</v>
      </c>
      <c r="B89" s="35" t="s">
        <v>72</v>
      </c>
      <c r="C89" s="46" t="s">
        <v>0</v>
      </c>
      <c r="D89" s="45" t="s">
        <v>63</v>
      </c>
      <c r="E89" s="45" t="s">
        <v>71</v>
      </c>
      <c r="F89" s="45" t="s">
        <v>61</v>
      </c>
      <c r="G89" s="45" t="s">
        <v>66</v>
      </c>
      <c r="H89" s="46" t="s">
        <v>67</v>
      </c>
      <c r="I89" s="45" t="s">
        <v>64</v>
      </c>
      <c r="J89" s="46" t="s">
        <v>67</v>
      </c>
      <c r="K89" s="45" t="s">
        <v>65</v>
      </c>
      <c r="L89" s="46" t="s">
        <v>67</v>
      </c>
      <c r="M89" s="45" t="s">
        <v>70</v>
      </c>
      <c r="N89" s="63" t="s">
        <v>99</v>
      </c>
      <c r="O89" s="63" t="s">
        <v>102</v>
      </c>
      <c r="P89" s="64" t="s">
        <v>104</v>
      </c>
      <c r="Q89" s="65" t="s">
        <v>105</v>
      </c>
      <c r="R89" s="66" t="s">
        <v>61</v>
      </c>
      <c r="S89" s="137" t="s">
        <v>111</v>
      </c>
      <c r="T89" s="138" t="s">
        <v>112</v>
      </c>
      <c r="V89" s="105">
        <f>(S91+S93)</f>
        <v>101.05767540143236</v>
      </c>
    </row>
    <row r="90" spans="1:22" x14ac:dyDescent="0.25">
      <c r="A90" s="55" t="s">
        <v>95</v>
      </c>
      <c r="B90" s="146">
        <v>100878391</v>
      </c>
      <c r="C90" s="48">
        <v>150543</v>
      </c>
      <c r="D90" s="145">
        <f>(E90/C90)</f>
        <v>88.540282643497207</v>
      </c>
      <c r="E90" s="21">
        <v>13329119.77</v>
      </c>
      <c r="F90" s="13">
        <f>(E90/B90)</f>
        <v>0.13213057462425229</v>
      </c>
      <c r="G90" s="20">
        <v>13329119.77</v>
      </c>
      <c r="H90" s="14">
        <f>(G90/E90)</f>
        <v>1</v>
      </c>
      <c r="J90" s="14">
        <f>(I90/E90)</f>
        <v>0</v>
      </c>
      <c r="K90" s="20"/>
      <c r="L90" s="23">
        <f>(K90/E90)</f>
        <v>0</v>
      </c>
      <c r="M90" s="19">
        <f>G90+I90+K90</f>
        <v>13329119.77</v>
      </c>
      <c r="N90" s="126" t="s">
        <v>108</v>
      </c>
      <c r="P90" s="59" t="e">
        <f t="shared" si="30"/>
        <v>#VALUE!</v>
      </c>
      <c r="Q90" s="96">
        <v>102613380</v>
      </c>
      <c r="R90" s="23"/>
      <c r="S90" s="105"/>
      <c r="T90" s="105" t="e">
        <f>(N90/C90)</f>
        <v>#VALUE!</v>
      </c>
      <c r="V90">
        <v>2</v>
      </c>
    </row>
    <row r="91" spans="1:22" x14ac:dyDescent="0.25">
      <c r="A91" s="55" t="s">
        <v>80</v>
      </c>
      <c r="B91" s="146">
        <v>62908004</v>
      </c>
      <c r="C91" s="48">
        <v>95917</v>
      </c>
      <c r="D91" s="49">
        <v>41</v>
      </c>
      <c r="E91" s="21">
        <v>3919281</v>
      </c>
      <c r="F91" s="13">
        <f>(E91/B91)</f>
        <v>6.2301785953978131E-2</v>
      </c>
      <c r="G91" s="20">
        <v>2442281</v>
      </c>
      <c r="H91" s="14">
        <f>(G91/E91)</f>
        <v>0.62314516361546923</v>
      </c>
      <c r="I91" s="20">
        <v>1477000</v>
      </c>
      <c r="J91" s="14">
        <f>(I91/E91)</f>
        <v>0.37685483638453071</v>
      </c>
      <c r="K91" s="20"/>
      <c r="L91" s="23">
        <f>(K91/E91)</f>
        <v>0</v>
      </c>
      <c r="M91" s="19">
        <f>G91+I91+K91</f>
        <v>3919281</v>
      </c>
      <c r="N91" s="38">
        <v>3600000</v>
      </c>
      <c r="P91" s="59">
        <f t="shared" si="30"/>
        <v>3600000</v>
      </c>
      <c r="Q91" s="96">
        <v>63271700</v>
      </c>
      <c r="R91" s="23">
        <f>(P91/Q91)</f>
        <v>5.6897475490622192E-2</v>
      </c>
      <c r="S91" s="105">
        <f>(P91/C91)</f>
        <v>37.532449930669223</v>
      </c>
      <c r="T91" s="105">
        <f>(N91/C91)</f>
        <v>37.532449930669223</v>
      </c>
    </row>
    <row r="92" spans="1:22" x14ac:dyDescent="0.25">
      <c r="A92" s="55" t="s">
        <v>136</v>
      </c>
      <c r="B92" s="146">
        <v>43757347.43</v>
      </c>
      <c r="C92" s="48">
        <v>59187</v>
      </c>
      <c r="D92" s="183">
        <f>(E92/C92)</f>
        <v>85.643806917059493</v>
      </c>
      <c r="E92" s="21">
        <v>5069000</v>
      </c>
      <c r="F92" s="13">
        <f t="shared" ref="F92:F93" si="31">(E92/B92)</f>
        <v>0.11584340225625052</v>
      </c>
      <c r="G92" s="20">
        <v>5069000</v>
      </c>
      <c r="H92" s="14">
        <f>(G92/E92)</f>
        <v>1</v>
      </c>
      <c r="I92" s="20"/>
      <c r="J92" s="14"/>
      <c r="K92" s="20"/>
      <c r="L92" s="23"/>
      <c r="M92" s="19">
        <f t="shared" ref="M92:M93" si="32">G92+I92+K92</f>
        <v>5069000</v>
      </c>
      <c r="N92" s="38" t="s">
        <v>150</v>
      </c>
      <c r="P92" s="59"/>
      <c r="Q92" s="96"/>
      <c r="R92" s="23"/>
      <c r="S92" s="105">
        <f t="shared" ref="S92:S93" si="33">(P92/C92)</f>
        <v>0</v>
      </c>
      <c r="T92" s="105"/>
    </row>
    <row r="93" spans="1:22" ht="15.75" thickBot="1" x14ac:dyDescent="0.3">
      <c r="A93" s="55" t="s">
        <v>137</v>
      </c>
      <c r="B93" s="146">
        <v>31336060.050000001</v>
      </c>
      <c r="C93" s="48">
        <v>40360</v>
      </c>
      <c r="D93" s="183">
        <f>(E93/C93)</f>
        <v>52.118773042616453</v>
      </c>
      <c r="E93" s="21">
        <v>2103513.6800000002</v>
      </c>
      <c r="F93" s="13">
        <f t="shared" si="31"/>
        <v>6.712757368487364E-2</v>
      </c>
      <c r="G93" s="20">
        <v>1463367.8</v>
      </c>
      <c r="H93" s="14">
        <f>(G93/E93)</f>
        <v>0.69567781465533418</v>
      </c>
      <c r="I93" s="20"/>
      <c r="J93" s="14"/>
      <c r="K93" s="20">
        <v>640145.88</v>
      </c>
      <c r="L93" s="23">
        <f>(K93/E93)</f>
        <v>0.30432218534466576</v>
      </c>
      <c r="M93" s="19">
        <f t="shared" si="32"/>
        <v>2103513.6800000002</v>
      </c>
      <c r="N93" s="38">
        <v>2548878.1</v>
      </c>
      <c r="O93">
        <v>15000</v>
      </c>
      <c r="P93" s="59">
        <f t="shared" si="30"/>
        <v>2563878.1</v>
      </c>
      <c r="Q93" s="96"/>
      <c r="R93" s="23"/>
      <c r="S93" s="105">
        <f t="shared" si="33"/>
        <v>63.525225470763132</v>
      </c>
      <c r="T93" s="105"/>
    </row>
    <row r="94" spans="1:22" ht="15.75" thickBot="1" x14ac:dyDescent="0.3">
      <c r="A94" s="24"/>
      <c r="B94" s="33"/>
      <c r="C94" s="28"/>
      <c r="D94" s="188">
        <f>SUM(D90:D93)</f>
        <v>267.30286260317314</v>
      </c>
      <c r="E94" s="20"/>
      <c r="F94" s="13">
        <f>SUM(F90:F93)</f>
        <v>0.37740333651935459</v>
      </c>
      <c r="H94" s="14"/>
      <c r="J94" s="14"/>
      <c r="K94" s="20"/>
      <c r="L94" s="23"/>
      <c r="M94" s="19"/>
      <c r="N94" s="12"/>
      <c r="P94" s="59">
        <f t="shared" si="30"/>
        <v>0</v>
      </c>
      <c r="R94" s="23"/>
      <c r="S94" s="105"/>
      <c r="T94" s="105" t="e">
        <f>(N94/C94)</f>
        <v>#DIV/0!</v>
      </c>
    </row>
    <row r="95" spans="1:22" x14ac:dyDescent="0.25">
      <c r="A95" s="4"/>
      <c r="B95" s="43"/>
      <c r="C95" s="117" t="s">
        <v>98</v>
      </c>
      <c r="D95" s="118">
        <f>(D90+D91+D92+D93)/4</f>
        <v>66.825715650793285</v>
      </c>
      <c r="E95" s="160" t="s">
        <v>97</v>
      </c>
      <c r="F95" s="162">
        <f>F94/4</f>
        <v>9.4350834129838648E-2</v>
      </c>
      <c r="H95" s="14"/>
      <c r="J95" s="14"/>
      <c r="K95" s="20"/>
      <c r="L95" s="23"/>
      <c r="M95" s="19"/>
      <c r="N95" s="12"/>
      <c r="P95" s="59">
        <f t="shared" si="30"/>
        <v>0</v>
      </c>
      <c r="R95" s="23"/>
      <c r="S95" s="105"/>
      <c r="T95" s="105" t="e">
        <f>(N95/C95)</f>
        <v>#VALUE!</v>
      </c>
    </row>
    <row r="96" spans="1:22" ht="15.75" x14ac:dyDescent="0.25">
      <c r="A96" s="35" t="s">
        <v>81</v>
      </c>
      <c r="B96" s="35" t="s">
        <v>72</v>
      </c>
      <c r="C96" s="46" t="s">
        <v>0</v>
      </c>
      <c r="D96" s="45" t="s">
        <v>63</v>
      </c>
      <c r="E96" s="45" t="s">
        <v>71</v>
      </c>
      <c r="F96" s="45" t="s">
        <v>61</v>
      </c>
      <c r="G96" s="45" t="s">
        <v>66</v>
      </c>
      <c r="H96" s="46" t="s">
        <v>67</v>
      </c>
      <c r="I96" s="45" t="s">
        <v>64</v>
      </c>
      <c r="J96" s="46" t="s">
        <v>67</v>
      </c>
      <c r="K96" s="45" t="s">
        <v>65</v>
      </c>
      <c r="L96" s="46" t="s">
        <v>67</v>
      </c>
      <c r="M96" s="45" t="s">
        <v>70</v>
      </c>
      <c r="N96" s="63" t="s">
        <v>99</v>
      </c>
      <c r="O96" s="63" t="s">
        <v>102</v>
      </c>
      <c r="P96" s="64" t="s">
        <v>104</v>
      </c>
      <c r="Q96" s="65" t="s">
        <v>105</v>
      </c>
      <c r="R96" s="66" t="s">
        <v>61</v>
      </c>
      <c r="S96" s="137" t="s">
        <v>111</v>
      </c>
      <c r="T96" s="138" t="s">
        <v>112</v>
      </c>
      <c r="V96" s="105">
        <f>(S97+S98+S99+S100+S101+S102)</f>
        <v>400.36127012769305</v>
      </c>
    </row>
    <row r="97" spans="1:22" x14ac:dyDescent="0.25">
      <c r="A97" t="s">
        <v>47</v>
      </c>
      <c r="B97" s="143">
        <v>230736506</v>
      </c>
      <c r="C97" s="3">
        <v>292986</v>
      </c>
      <c r="D97" s="53">
        <f t="shared" ref="D97:D102" si="34">(E97/C97)</f>
        <v>79.441328254592364</v>
      </c>
      <c r="E97" s="21">
        <v>23275197</v>
      </c>
      <c r="F97" s="40">
        <f t="shared" ref="F97:F102" si="35">(E97/B97)</f>
        <v>0.10087349160084794</v>
      </c>
      <c r="G97" s="20">
        <v>14357026</v>
      </c>
      <c r="H97" s="14">
        <f t="shared" ref="H97:H102" si="36">(G97/E97)</f>
        <v>0.61683800141412337</v>
      </c>
      <c r="I97" s="20"/>
      <c r="J97" s="14">
        <f t="shared" ref="J97:J102" si="37">(I97/E97)</f>
        <v>0</v>
      </c>
      <c r="K97" s="20">
        <v>8918171</v>
      </c>
      <c r="L97" s="23">
        <f t="shared" ref="L97:L102" si="38">(K97/E97)</f>
        <v>0.38316199858587663</v>
      </c>
      <c r="M97" s="19">
        <f t="shared" ref="M97:M102" si="39">G97+I97+K97</f>
        <v>23275197</v>
      </c>
      <c r="N97" s="38">
        <v>16800000</v>
      </c>
      <c r="O97" s="54"/>
      <c r="P97" s="59">
        <f t="shared" si="30"/>
        <v>16800000</v>
      </c>
      <c r="Q97" s="100">
        <v>233094593</v>
      </c>
      <c r="R97" s="23">
        <f t="shared" ref="R97:R102" si="40">(P97/Q97)</f>
        <v>7.2073743898469586E-2</v>
      </c>
      <c r="S97" s="105">
        <f t="shared" ref="S97:S102" si="41">(P97/C97)</f>
        <v>57.340623784071596</v>
      </c>
      <c r="T97" s="105">
        <f t="shared" ref="T97:T104" si="42">(N97/C97)</f>
        <v>57.340623784071596</v>
      </c>
      <c r="V97">
        <v>6</v>
      </c>
    </row>
    <row r="98" spans="1:22" x14ac:dyDescent="0.25">
      <c r="A98" t="s">
        <v>93</v>
      </c>
      <c r="B98" s="143">
        <v>239390000</v>
      </c>
      <c r="C98" s="3">
        <v>244009</v>
      </c>
      <c r="D98" s="53">
        <f t="shared" si="34"/>
        <v>81.181513796622255</v>
      </c>
      <c r="E98" s="21">
        <v>19809020</v>
      </c>
      <c r="F98" s="40">
        <f t="shared" si="35"/>
        <v>8.2747900914825187E-2</v>
      </c>
      <c r="G98" s="20">
        <v>12650000</v>
      </c>
      <c r="H98" s="14">
        <f t="shared" si="36"/>
        <v>0.63859797203496182</v>
      </c>
      <c r="I98" s="20">
        <v>6809020</v>
      </c>
      <c r="J98" s="14">
        <f t="shared" si="37"/>
        <v>0.34373330937118546</v>
      </c>
      <c r="K98" s="20">
        <v>350000</v>
      </c>
      <c r="L98" s="23">
        <f t="shared" si="38"/>
        <v>1.76687185938527E-2</v>
      </c>
      <c r="M98" s="19">
        <f t="shared" si="39"/>
        <v>19809020</v>
      </c>
      <c r="N98" s="38">
        <v>10509826</v>
      </c>
      <c r="O98" s="54">
        <v>1200000</v>
      </c>
      <c r="P98" s="59">
        <f t="shared" si="30"/>
        <v>11709826</v>
      </c>
      <c r="Q98" s="100">
        <v>239936500</v>
      </c>
      <c r="R98" s="23">
        <f t="shared" si="40"/>
        <v>4.8803854353130935E-2</v>
      </c>
      <c r="S98" s="105">
        <f t="shared" si="41"/>
        <v>47.989320066063136</v>
      </c>
      <c r="T98" s="105">
        <f t="shared" si="42"/>
        <v>43.071468675335744</v>
      </c>
    </row>
    <row r="99" spans="1:22" x14ac:dyDescent="0.25">
      <c r="A99" s="1" t="s">
        <v>151</v>
      </c>
      <c r="B99" s="143">
        <v>94736584</v>
      </c>
      <c r="C99" s="3">
        <v>105636</v>
      </c>
      <c r="D99" s="203">
        <f t="shared" si="34"/>
        <v>123.99182097012383</v>
      </c>
      <c r="E99" s="21">
        <v>13098000</v>
      </c>
      <c r="F99" s="40">
        <f t="shared" si="35"/>
        <v>0.13825704334030031</v>
      </c>
      <c r="G99" s="20">
        <v>13098000</v>
      </c>
      <c r="H99" s="14">
        <f t="shared" si="36"/>
        <v>1</v>
      </c>
      <c r="I99" s="20"/>
      <c r="J99" s="14">
        <f t="shared" si="37"/>
        <v>0</v>
      </c>
      <c r="K99" s="20"/>
      <c r="L99" s="23">
        <f t="shared" si="38"/>
        <v>0</v>
      </c>
      <c r="M99" s="19">
        <f t="shared" si="39"/>
        <v>13098000</v>
      </c>
      <c r="N99" s="38">
        <v>8649000</v>
      </c>
      <c r="O99" s="54"/>
      <c r="P99" s="59">
        <f t="shared" si="30"/>
        <v>8649000</v>
      </c>
      <c r="Q99" s="93">
        <v>103897640</v>
      </c>
      <c r="R99" s="23">
        <f t="shared" si="40"/>
        <v>8.3245394216846499E-2</v>
      </c>
      <c r="S99" s="105">
        <f t="shared" si="41"/>
        <v>81.875496989662608</v>
      </c>
      <c r="T99" s="105">
        <f t="shared" si="42"/>
        <v>81.875496989662608</v>
      </c>
    </row>
    <row r="100" spans="1:22" x14ac:dyDescent="0.25">
      <c r="A100" t="s">
        <v>32</v>
      </c>
      <c r="B100" s="143">
        <v>78175376</v>
      </c>
      <c r="C100" s="3">
        <v>97995</v>
      </c>
      <c r="D100" s="53">
        <f t="shared" si="34"/>
        <v>99.179243838971374</v>
      </c>
      <c r="E100" s="21">
        <v>9719070</v>
      </c>
      <c r="F100" s="40">
        <f t="shared" si="35"/>
        <v>0.12432393033837151</v>
      </c>
      <c r="G100" s="20">
        <v>9719070</v>
      </c>
      <c r="H100" s="14">
        <f t="shared" si="36"/>
        <v>1</v>
      </c>
      <c r="I100" s="20"/>
      <c r="J100" s="14">
        <f t="shared" si="37"/>
        <v>0</v>
      </c>
      <c r="K100" s="20"/>
      <c r="L100" s="23">
        <f t="shared" si="38"/>
        <v>0</v>
      </c>
      <c r="M100" s="19">
        <f t="shared" si="39"/>
        <v>9719070</v>
      </c>
      <c r="N100" s="38">
        <v>7130000</v>
      </c>
      <c r="O100" s="54"/>
      <c r="P100" s="59">
        <f t="shared" si="30"/>
        <v>7130000</v>
      </c>
      <c r="Q100" s="93">
        <v>78175376</v>
      </c>
      <c r="R100" s="23">
        <f t="shared" si="40"/>
        <v>9.120518972623809E-2</v>
      </c>
      <c r="S100" s="105">
        <f t="shared" si="41"/>
        <v>72.758814225215573</v>
      </c>
      <c r="T100" s="105">
        <f t="shared" si="42"/>
        <v>72.758814225215573</v>
      </c>
    </row>
    <row r="101" spans="1:22" x14ac:dyDescent="0.25">
      <c r="A101" s="148" t="s">
        <v>33</v>
      </c>
      <c r="B101" s="143">
        <v>102980350</v>
      </c>
      <c r="C101" s="3">
        <v>96456</v>
      </c>
      <c r="D101" s="53">
        <f t="shared" si="34"/>
        <v>70.965051422410212</v>
      </c>
      <c r="E101" s="21">
        <v>6845005</v>
      </c>
      <c r="F101" s="40">
        <f t="shared" si="35"/>
        <v>6.6469039967333568E-2</v>
      </c>
      <c r="G101" s="20">
        <v>3823074</v>
      </c>
      <c r="H101" s="14">
        <f t="shared" si="36"/>
        <v>0.55852026404655652</v>
      </c>
      <c r="I101" s="20">
        <v>3021931</v>
      </c>
      <c r="J101" s="14">
        <f t="shared" si="37"/>
        <v>0.44147973595344342</v>
      </c>
      <c r="K101" s="20"/>
      <c r="L101" s="23">
        <f t="shared" si="38"/>
        <v>0</v>
      </c>
      <c r="M101" s="19">
        <f t="shared" si="39"/>
        <v>6845005</v>
      </c>
      <c r="N101" s="38">
        <v>6300000</v>
      </c>
      <c r="O101" s="54">
        <v>300000</v>
      </c>
      <c r="P101" s="59">
        <f t="shared" si="30"/>
        <v>6600000</v>
      </c>
      <c r="Q101" s="100">
        <v>104271682</v>
      </c>
      <c r="R101" s="23">
        <f t="shared" si="40"/>
        <v>6.3296188125170932E-2</v>
      </c>
      <c r="S101" s="105">
        <f t="shared" si="41"/>
        <v>68.424981338641459</v>
      </c>
      <c r="T101" s="105">
        <f t="shared" si="42"/>
        <v>65.314754914157746</v>
      </c>
    </row>
    <row r="102" spans="1:22" ht="15.75" thickBot="1" x14ac:dyDescent="0.3">
      <c r="A102" t="s">
        <v>34</v>
      </c>
      <c r="B102" s="143">
        <v>72900000</v>
      </c>
      <c r="C102" s="3">
        <v>82671</v>
      </c>
      <c r="D102" s="53">
        <f t="shared" si="34"/>
        <v>103.1352590388407</v>
      </c>
      <c r="E102" s="21">
        <v>8526295</v>
      </c>
      <c r="F102" s="40">
        <f t="shared" si="35"/>
        <v>0.1169587791495199</v>
      </c>
      <c r="G102" s="20">
        <v>6221195</v>
      </c>
      <c r="H102" s="14">
        <f t="shared" si="36"/>
        <v>0.72964810624075283</v>
      </c>
      <c r="I102" s="20">
        <v>80100</v>
      </c>
      <c r="J102" s="14">
        <f t="shared" si="37"/>
        <v>9.3944673507074285E-3</v>
      </c>
      <c r="K102" s="20">
        <v>2225000</v>
      </c>
      <c r="L102" s="23">
        <f t="shared" si="38"/>
        <v>0.26095742640853969</v>
      </c>
      <c r="M102" s="19">
        <f t="shared" si="39"/>
        <v>8526295</v>
      </c>
      <c r="N102" s="38">
        <v>5950000</v>
      </c>
      <c r="O102" s="54"/>
      <c r="P102" s="59">
        <f t="shared" si="30"/>
        <v>5950000</v>
      </c>
      <c r="Q102" s="100">
        <v>73120000</v>
      </c>
      <c r="R102" s="23">
        <f t="shared" si="40"/>
        <v>8.1373085339168497E-2</v>
      </c>
      <c r="S102" s="105">
        <f t="shared" si="41"/>
        <v>71.972033724038653</v>
      </c>
      <c r="T102" s="105">
        <f t="shared" si="42"/>
        <v>71.972033724038653</v>
      </c>
    </row>
    <row r="103" spans="1:22" ht="15.75" thickBot="1" x14ac:dyDescent="0.3">
      <c r="A103" s="24"/>
      <c r="B103" s="33"/>
      <c r="C103" s="28"/>
      <c r="D103" s="189">
        <f>SUM(D97:D102)</f>
        <v>557.89421732156075</v>
      </c>
      <c r="E103" s="20"/>
      <c r="F103" s="13">
        <f>SUM(F97:F102)</f>
        <v>0.62963018531119841</v>
      </c>
      <c r="H103" s="14"/>
      <c r="J103" s="14"/>
      <c r="K103" s="20"/>
      <c r="L103" s="23"/>
      <c r="M103" s="19"/>
      <c r="N103" s="12"/>
      <c r="P103" s="59">
        <f t="shared" si="30"/>
        <v>0</v>
      </c>
      <c r="R103" s="23">
        <f>SUM(R97:R102)</f>
        <v>0.43999745565902454</v>
      </c>
      <c r="S103" s="105"/>
      <c r="T103" s="105" t="e">
        <f t="shared" si="42"/>
        <v>#DIV/0!</v>
      </c>
    </row>
    <row r="104" spans="1:22" x14ac:dyDescent="0.25">
      <c r="A104" s="4"/>
      <c r="B104" s="43"/>
      <c r="C104" s="117" t="s">
        <v>98</v>
      </c>
      <c r="D104" s="118">
        <f>(D97+D98+D99+D100+D101+D102)/6</f>
        <v>92.982369553593458</v>
      </c>
      <c r="E104" s="160" t="s">
        <v>97</v>
      </c>
      <c r="F104" s="162">
        <f>F103/6</f>
        <v>0.10493836421853307</v>
      </c>
      <c r="H104" s="14"/>
      <c r="J104" s="14"/>
      <c r="K104" s="20"/>
      <c r="L104" s="23"/>
      <c r="M104" s="19"/>
      <c r="N104" t="s">
        <v>100</v>
      </c>
      <c r="O104" t="s">
        <v>101</v>
      </c>
      <c r="P104" s="59" t="e">
        <f t="shared" si="30"/>
        <v>#VALUE!</v>
      </c>
      <c r="R104" s="23"/>
      <c r="S104" s="105"/>
      <c r="T104" s="105" t="e">
        <f t="shared" si="42"/>
        <v>#VALUE!</v>
      </c>
    </row>
    <row r="105" spans="1:22" ht="15.75" x14ac:dyDescent="0.25">
      <c r="A105" s="35" t="s">
        <v>116</v>
      </c>
      <c r="B105" s="35" t="s">
        <v>72</v>
      </c>
      <c r="C105" s="46" t="s">
        <v>0</v>
      </c>
      <c r="D105" s="45" t="s">
        <v>63</v>
      </c>
      <c r="E105" s="45" t="s">
        <v>69</v>
      </c>
      <c r="F105" s="45" t="s">
        <v>61</v>
      </c>
      <c r="G105" s="45" t="s">
        <v>74</v>
      </c>
      <c r="H105" s="46" t="s">
        <v>67</v>
      </c>
      <c r="I105" s="45" t="s">
        <v>75</v>
      </c>
      <c r="J105" s="46" t="s">
        <v>67</v>
      </c>
      <c r="K105" s="45" t="s">
        <v>65</v>
      </c>
      <c r="L105" s="46" t="s">
        <v>67</v>
      </c>
      <c r="M105" s="47"/>
      <c r="N105" s="63" t="s">
        <v>99</v>
      </c>
      <c r="O105" s="63" t="s">
        <v>102</v>
      </c>
      <c r="P105" s="64" t="s">
        <v>104</v>
      </c>
      <c r="Q105" s="65" t="s">
        <v>105</v>
      </c>
      <c r="R105" s="66" t="s">
        <v>61</v>
      </c>
      <c r="S105" s="137" t="s">
        <v>111</v>
      </c>
      <c r="T105" s="138" t="s">
        <v>112</v>
      </c>
    </row>
    <row r="106" spans="1:22" x14ac:dyDescent="0.25">
      <c r="A106" t="s">
        <v>1</v>
      </c>
      <c r="B106" s="149">
        <v>4706815903</v>
      </c>
      <c r="C106" s="36">
        <v>3182981</v>
      </c>
      <c r="D106" s="53">
        <f t="shared" ref="D106:D115" si="43">(E106/C106)</f>
        <v>87.417074748482634</v>
      </c>
      <c r="E106" s="20">
        <v>278246888</v>
      </c>
      <c r="F106" s="58">
        <f t="shared" ref="F106:F111" si="44">(E106/B106)</f>
        <v>5.9115736356429999E-2</v>
      </c>
      <c r="G106" s="20">
        <v>195736743</v>
      </c>
      <c r="H106" s="14">
        <f t="shared" ref="H106:H115" si="45">(G106/E106)</f>
        <v>0.70346426659765549</v>
      </c>
      <c r="I106" s="20"/>
      <c r="J106" s="14">
        <f t="shared" ref="J106:J115" si="46">(I106/E106)</f>
        <v>0</v>
      </c>
      <c r="K106" s="21">
        <v>82510145</v>
      </c>
      <c r="L106" s="15">
        <f t="shared" ref="L106:L115" si="47">(K106/E106)</f>
        <v>0.29653573340234446</v>
      </c>
      <c r="M106" s="19">
        <f>G106+I106+K106</f>
        <v>278246888</v>
      </c>
      <c r="N106" s="38"/>
      <c r="O106" s="187">
        <v>39306713</v>
      </c>
      <c r="P106" s="59">
        <f t="shared" si="30"/>
        <v>39306713</v>
      </c>
      <c r="Q106" s="92">
        <v>4708815319</v>
      </c>
      <c r="R106" s="23"/>
      <c r="S106" s="185">
        <f>(P106/C106)</f>
        <v>12.349025331913699</v>
      </c>
      <c r="T106" s="105">
        <f t="shared" ref="T106:T115" si="48">(N106/C106)</f>
        <v>0</v>
      </c>
    </row>
    <row r="107" spans="1:22" x14ac:dyDescent="0.25">
      <c r="A107" t="s">
        <v>7</v>
      </c>
      <c r="B107" s="143">
        <v>186697471</v>
      </c>
      <c r="C107" s="36">
        <v>206589</v>
      </c>
      <c r="D107" s="203">
        <f t="shared" si="43"/>
        <v>13.617298113645935</v>
      </c>
      <c r="E107" s="20">
        <v>2813184</v>
      </c>
      <c r="F107" s="40">
        <f t="shared" si="44"/>
        <v>1.5068141978206015E-2</v>
      </c>
      <c r="G107" s="20"/>
      <c r="H107" s="14">
        <f t="shared" si="45"/>
        <v>0</v>
      </c>
      <c r="I107" s="20">
        <v>581382</v>
      </c>
      <c r="J107" s="14">
        <f t="shared" si="46"/>
        <v>0.20666333947583948</v>
      </c>
      <c r="K107" s="21">
        <v>2231802</v>
      </c>
      <c r="L107" s="15">
        <f t="shared" si="47"/>
        <v>0.79333666052416052</v>
      </c>
      <c r="M107" s="19">
        <f t="shared" ref="M107:M115" si="49">G107+I107+K107</f>
        <v>2813184</v>
      </c>
      <c r="N107" s="38" t="s">
        <v>108</v>
      </c>
      <c r="P107" s="59" t="e">
        <f t="shared" si="30"/>
        <v>#VALUE!</v>
      </c>
      <c r="Q107" s="91">
        <v>188266964</v>
      </c>
      <c r="R107" s="23"/>
      <c r="S107" s="185"/>
      <c r="T107" s="105" t="e">
        <f t="shared" si="48"/>
        <v>#VALUE!</v>
      </c>
      <c r="V107">
        <v>0</v>
      </c>
    </row>
    <row r="108" spans="1:22" x14ac:dyDescent="0.25">
      <c r="A108" t="s">
        <v>3</v>
      </c>
      <c r="B108" s="143">
        <v>188000000</v>
      </c>
      <c r="C108" s="36">
        <v>194310</v>
      </c>
      <c r="D108" s="53">
        <f t="shared" si="43"/>
        <v>92.63547938860583</v>
      </c>
      <c r="E108" s="39">
        <v>18000000</v>
      </c>
      <c r="F108" s="40">
        <f t="shared" si="44"/>
        <v>9.5744680851063829E-2</v>
      </c>
      <c r="G108" s="20">
        <v>17705000</v>
      </c>
      <c r="H108" s="14">
        <f t="shared" si="45"/>
        <v>0.9836111111111111</v>
      </c>
      <c r="I108" s="20">
        <v>20000</v>
      </c>
      <c r="J108" s="14">
        <f t="shared" si="46"/>
        <v>1.1111111111111111E-3</v>
      </c>
      <c r="K108" s="21">
        <v>275000</v>
      </c>
      <c r="L108" s="15">
        <f t="shared" si="47"/>
        <v>1.5277777777777777E-2</v>
      </c>
      <c r="M108" s="19">
        <f t="shared" si="49"/>
        <v>18000000</v>
      </c>
      <c r="N108" s="38">
        <v>2430000</v>
      </c>
      <c r="P108" s="59">
        <f t="shared" si="30"/>
        <v>2430000</v>
      </c>
      <c r="Q108" s="91">
        <v>190889000</v>
      </c>
      <c r="R108" s="23">
        <f>(P108/Q108)</f>
        <v>1.272991110016816E-2</v>
      </c>
      <c r="S108" s="185">
        <f>(P108/C108)</f>
        <v>12.505789717461788</v>
      </c>
      <c r="T108" s="105">
        <f t="shared" si="48"/>
        <v>12.505789717461788</v>
      </c>
    </row>
    <row r="109" spans="1:22" x14ac:dyDescent="0.25">
      <c r="A109" t="s">
        <v>8</v>
      </c>
      <c r="B109" s="143">
        <v>151376154</v>
      </c>
      <c r="C109" s="36">
        <v>194669</v>
      </c>
      <c r="D109" s="53">
        <f t="shared" si="43"/>
        <v>36.020280578828675</v>
      </c>
      <c r="E109" s="20">
        <v>7012032</v>
      </c>
      <c r="F109" s="40">
        <f t="shared" si="44"/>
        <v>4.6321906157029198E-2</v>
      </c>
      <c r="G109" s="20">
        <v>3468154</v>
      </c>
      <c r="H109" s="14">
        <f t="shared" si="45"/>
        <v>0.49460042395699277</v>
      </c>
      <c r="I109" s="20">
        <v>850000</v>
      </c>
      <c r="J109" s="14">
        <f t="shared" si="46"/>
        <v>0.12122021120268704</v>
      </c>
      <c r="K109" s="21">
        <v>2693878</v>
      </c>
      <c r="L109" s="15">
        <f t="shared" si="47"/>
        <v>0.38417936484032017</v>
      </c>
      <c r="M109" s="19">
        <f t="shared" si="49"/>
        <v>7012032</v>
      </c>
      <c r="N109" s="38">
        <v>1300000</v>
      </c>
      <c r="P109" s="59">
        <f t="shared" si="30"/>
        <v>1300000</v>
      </c>
      <c r="Q109" s="93">
        <v>156159594.43000001</v>
      </c>
      <c r="R109" s="23">
        <f>(P109/Q109)</f>
        <v>8.3248167027145884E-3</v>
      </c>
      <c r="S109" s="185">
        <f>(P109/C109)</f>
        <v>6.6780021472345368</v>
      </c>
      <c r="T109" s="105">
        <f t="shared" si="48"/>
        <v>6.6780021472345368</v>
      </c>
    </row>
    <row r="110" spans="1:22" x14ac:dyDescent="0.25">
      <c r="A110" t="s">
        <v>11</v>
      </c>
      <c r="B110" s="143">
        <v>142328830</v>
      </c>
      <c r="C110" s="36">
        <v>187720</v>
      </c>
      <c r="D110" s="53">
        <f t="shared" si="43"/>
        <v>32.079000639249948</v>
      </c>
      <c r="E110" s="20">
        <v>6021870</v>
      </c>
      <c r="F110" s="40">
        <f t="shared" si="44"/>
        <v>4.2309558787211279E-2</v>
      </c>
      <c r="G110" s="20">
        <v>6021870</v>
      </c>
      <c r="H110" s="14">
        <f t="shared" si="45"/>
        <v>1</v>
      </c>
      <c r="I110" s="20"/>
      <c r="J110" s="14">
        <f t="shared" si="46"/>
        <v>0</v>
      </c>
      <c r="K110" s="21"/>
      <c r="L110" s="15">
        <f t="shared" si="47"/>
        <v>0</v>
      </c>
      <c r="M110" s="19">
        <f t="shared" si="49"/>
        <v>6021870</v>
      </c>
      <c r="N110" s="38">
        <v>2400000</v>
      </c>
      <c r="P110" s="59">
        <f t="shared" si="30"/>
        <v>2400000</v>
      </c>
      <c r="Q110" s="93">
        <v>145749280</v>
      </c>
      <c r="R110" s="23">
        <f>(P110/Q110)</f>
        <v>1.6466633660214308E-2</v>
      </c>
      <c r="S110" s="185">
        <f>(P110/C110)</f>
        <v>12.784998934583422</v>
      </c>
      <c r="T110" s="105">
        <f t="shared" si="48"/>
        <v>12.784998934583422</v>
      </c>
    </row>
    <row r="111" spans="1:22" x14ac:dyDescent="0.25">
      <c r="A111" t="s">
        <v>9</v>
      </c>
      <c r="B111" s="143">
        <v>154253499</v>
      </c>
      <c r="C111" s="36">
        <v>178288</v>
      </c>
      <c r="D111" s="53">
        <f t="shared" si="43"/>
        <v>42.882297182087406</v>
      </c>
      <c r="E111" s="20">
        <v>7645399</v>
      </c>
      <c r="F111" s="58">
        <f t="shared" si="44"/>
        <v>4.9563861108913969E-2</v>
      </c>
      <c r="G111" s="20">
        <v>6019299</v>
      </c>
      <c r="H111" s="14">
        <f t="shared" si="45"/>
        <v>0.7873099886611542</v>
      </c>
      <c r="I111" s="20">
        <v>1626100</v>
      </c>
      <c r="J111" s="14">
        <f t="shared" si="46"/>
        <v>0.21269001133884577</v>
      </c>
      <c r="K111" s="37"/>
      <c r="L111" s="15">
        <f t="shared" si="47"/>
        <v>0</v>
      </c>
      <c r="M111" s="19">
        <f t="shared" si="49"/>
        <v>7645399</v>
      </c>
      <c r="N111" s="38" t="s">
        <v>108</v>
      </c>
      <c r="P111" s="59" t="e">
        <f t="shared" si="30"/>
        <v>#VALUE!</v>
      </c>
      <c r="Q111" s="91">
        <v>154531509.21000001</v>
      </c>
      <c r="R111" s="23"/>
      <c r="S111" s="185"/>
      <c r="T111" s="105" t="e">
        <f t="shared" si="48"/>
        <v>#VALUE!</v>
      </c>
    </row>
    <row r="112" spans="1:22" x14ac:dyDescent="0.25">
      <c r="A112" t="s">
        <v>118</v>
      </c>
      <c r="B112" s="143">
        <v>132400507</v>
      </c>
      <c r="C112" s="36">
        <v>168141</v>
      </c>
      <c r="D112" s="53">
        <f t="shared" si="43"/>
        <v>96.297619260025812</v>
      </c>
      <c r="E112" s="20">
        <v>16191578</v>
      </c>
      <c r="F112" s="40">
        <f>(E112/B112)</f>
        <v>0.12229241690139449</v>
      </c>
      <c r="G112" s="20">
        <v>16191578</v>
      </c>
      <c r="H112" s="14">
        <f t="shared" si="45"/>
        <v>1</v>
      </c>
      <c r="I112" s="20"/>
      <c r="J112" s="14">
        <f t="shared" si="46"/>
        <v>0</v>
      </c>
      <c r="K112" s="21"/>
      <c r="L112" s="15">
        <f t="shared" si="47"/>
        <v>0</v>
      </c>
      <c r="M112" s="19">
        <f t="shared" si="49"/>
        <v>16191578</v>
      </c>
      <c r="N112" s="38" t="s">
        <v>110</v>
      </c>
      <c r="P112" s="59" t="e">
        <f t="shared" si="30"/>
        <v>#VALUE!</v>
      </c>
      <c r="Q112" s="91">
        <v>178622567</v>
      </c>
      <c r="R112" s="23"/>
      <c r="S112" s="185"/>
      <c r="T112" s="105" t="e">
        <f t="shared" si="48"/>
        <v>#VALUE!</v>
      </c>
    </row>
    <row r="113" spans="1:22" x14ac:dyDescent="0.25">
      <c r="A113" t="s">
        <v>12</v>
      </c>
      <c r="B113" s="91">
        <v>102807227</v>
      </c>
      <c r="C113" s="36">
        <v>128013</v>
      </c>
      <c r="D113" s="53">
        <f t="shared" si="43"/>
        <v>90.460453235218296</v>
      </c>
      <c r="E113" s="39">
        <v>11580114</v>
      </c>
      <c r="F113" s="40">
        <f>(E113/B113)</f>
        <v>0.1126391046419334</v>
      </c>
      <c r="G113" s="20">
        <v>10722614</v>
      </c>
      <c r="H113" s="14">
        <f t="shared" si="45"/>
        <v>0.92595064262752513</v>
      </c>
      <c r="I113" s="20">
        <v>857500</v>
      </c>
      <c r="J113" s="14">
        <f t="shared" si="46"/>
        <v>7.4049357372474922E-2</v>
      </c>
      <c r="K113" s="21"/>
      <c r="L113" s="15">
        <f t="shared" si="47"/>
        <v>0</v>
      </c>
      <c r="M113" s="19">
        <f t="shared" si="49"/>
        <v>11580114</v>
      </c>
      <c r="N113" s="38" t="s">
        <v>108</v>
      </c>
      <c r="P113" s="59" t="e">
        <f t="shared" si="30"/>
        <v>#VALUE!</v>
      </c>
      <c r="Q113" s="91">
        <v>102807227</v>
      </c>
      <c r="R113" s="23"/>
      <c r="S113" s="185"/>
      <c r="T113" s="105" t="e">
        <f t="shared" si="48"/>
        <v>#VALUE!</v>
      </c>
    </row>
    <row r="114" spans="1:22" x14ac:dyDescent="0.25">
      <c r="A114" t="s">
        <v>10</v>
      </c>
      <c r="B114" s="91">
        <v>88208307</v>
      </c>
      <c r="C114" s="36">
        <v>125898</v>
      </c>
      <c r="D114" s="203">
        <f t="shared" si="43"/>
        <v>3.8932866288582821</v>
      </c>
      <c r="E114" s="39">
        <v>490157</v>
      </c>
      <c r="F114" s="40">
        <f>(E114/B114)</f>
        <v>5.5568122399174942E-3</v>
      </c>
      <c r="G114" s="20"/>
      <c r="H114" s="14">
        <f t="shared" si="45"/>
        <v>0</v>
      </c>
      <c r="I114" s="20"/>
      <c r="J114" s="14">
        <f t="shared" si="46"/>
        <v>0</v>
      </c>
      <c r="K114" s="21">
        <v>490157</v>
      </c>
      <c r="L114" s="15">
        <f t="shared" si="47"/>
        <v>1</v>
      </c>
      <c r="M114" s="19">
        <f t="shared" si="49"/>
        <v>490157</v>
      </c>
      <c r="N114" s="38" t="s">
        <v>108</v>
      </c>
      <c r="P114" s="59" t="e">
        <f t="shared" si="30"/>
        <v>#VALUE!</v>
      </c>
      <c r="Q114" s="93">
        <v>91017180.900000006</v>
      </c>
      <c r="R114" s="23"/>
      <c r="S114" s="185"/>
      <c r="T114" s="105" t="e">
        <f t="shared" si="48"/>
        <v>#VALUE!</v>
      </c>
    </row>
    <row r="115" spans="1:22" x14ac:dyDescent="0.25">
      <c r="A115" t="s">
        <v>4</v>
      </c>
      <c r="B115" s="91">
        <v>149695798</v>
      </c>
      <c r="C115" s="36">
        <v>114864</v>
      </c>
      <c r="D115" s="53">
        <f t="shared" si="43"/>
        <v>48.239744393369548</v>
      </c>
      <c r="E115" s="20">
        <v>5541010</v>
      </c>
      <c r="F115" s="40">
        <f>(E115/B115)</f>
        <v>3.7015133851652934E-2</v>
      </c>
      <c r="G115" s="20"/>
      <c r="H115" s="14">
        <f t="shared" si="45"/>
        <v>0</v>
      </c>
      <c r="I115" s="20">
        <v>5541010</v>
      </c>
      <c r="J115" s="14">
        <f t="shared" si="46"/>
        <v>1</v>
      </c>
      <c r="K115" s="21"/>
      <c r="L115" s="15">
        <f t="shared" si="47"/>
        <v>0</v>
      </c>
      <c r="M115" s="19">
        <f t="shared" si="49"/>
        <v>5541010</v>
      </c>
      <c r="N115" s="38">
        <v>1200000</v>
      </c>
      <c r="P115" s="59">
        <f t="shared" si="30"/>
        <v>1200000</v>
      </c>
      <c r="Q115" s="93">
        <v>147808912.88</v>
      </c>
      <c r="R115" s="23">
        <f>(P115/Q115)</f>
        <v>8.1185902569639416E-3</v>
      </c>
      <c r="S115" s="185">
        <f>(P115/C115)</f>
        <v>10.447137484329295</v>
      </c>
      <c r="T115" s="105">
        <f t="shared" si="48"/>
        <v>10.447137484329295</v>
      </c>
    </row>
    <row r="116" spans="1:22" ht="15.75" thickBot="1" x14ac:dyDescent="0.3">
      <c r="B116" s="91"/>
      <c r="C116" s="36"/>
      <c r="D116" s="191">
        <f>SUM(D106:D115)</f>
        <v>543.5425341683723</v>
      </c>
      <c r="E116" s="39"/>
      <c r="F116" s="40">
        <f>SUM(F106:F115)</f>
        <v>0.58562735287375245</v>
      </c>
      <c r="G116" s="20"/>
      <c r="H116" s="14"/>
      <c r="I116" s="20"/>
      <c r="J116" s="14"/>
      <c r="K116" s="21"/>
      <c r="L116" s="15"/>
      <c r="M116" s="19"/>
      <c r="N116" s="38"/>
      <c r="P116" s="59"/>
      <c r="Q116" s="91"/>
      <c r="R116" s="23"/>
      <c r="S116" s="105"/>
      <c r="T116" s="105"/>
    </row>
    <row r="117" spans="1:22" ht="15.75" thickBot="1" x14ac:dyDescent="0.3">
      <c r="A117" s="24"/>
      <c r="B117" s="33"/>
      <c r="C117" s="28"/>
      <c r="D117" s="189"/>
      <c r="F117" s="57"/>
      <c r="K117" s="6"/>
      <c r="L117" s="7"/>
      <c r="M117" s="8"/>
      <c r="N117" s="12"/>
      <c r="P117" s="59">
        <f t="shared" si="30"/>
        <v>0</v>
      </c>
      <c r="R117" s="23">
        <f>SUM(R108:R115)</f>
        <v>4.5639951720060995E-2</v>
      </c>
      <c r="S117" s="105"/>
      <c r="T117" s="105" t="e">
        <f>(N117/C117)</f>
        <v>#DIV/0!</v>
      </c>
    </row>
    <row r="118" spans="1:22" x14ac:dyDescent="0.25">
      <c r="A118" s="1"/>
      <c r="C118" s="115" t="s">
        <v>98</v>
      </c>
      <c r="D118" s="122">
        <f>(D106+D107+D108+D109+D110+D111+D112+D113+D114+D115)/10</f>
        <v>54.354253416837231</v>
      </c>
      <c r="E118" s="120" t="s">
        <v>97</v>
      </c>
      <c r="F118" s="163">
        <f>F117/10</f>
        <v>0</v>
      </c>
      <c r="K118" s="9"/>
      <c r="L118" s="10"/>
      <c r="M118" s="11"/>
      <c r="N118" s="12"/>
      <c r="P118" s="59">
        <f t="shared" si="30"/>
        <v>0</v>
      </c>
      <c r="R118" s="23"/>
      <c r="S118" s="105"/>
      <c r="T118" s="105" t="e">
        <f>(N118/C118)</f>
        <v>#VALUE!</v>
      </c>
    </row>
    <row r="119" spans="1:22" ht="15.75" x14ac:dyDescent="0.25">
      <c r="A119" s="35" t="s">
        <v>138</v>
      </c>
      <c r="B119" s="35" t="s">
        <v>72</v>
      </c>
      <c r="C119" s="46" t="s">
        <v>0</v>
      </c>
      <c r="D119" s="45" t="s">
        <v>63</v>
      </c>
      <c r="E119" s="45" t="s">
        <v>69</v>
      </c>
      <c r="F119" s="45" t="s">
        <v>61</v>
      </c>
      <c r="G119" s="45" t="s">
        <v>74</v>
      </c>
      <c r="H119" s="46" t="s">
        <v>67</v>
      </c>
      <c r="I119" s="45" t="s">
        <v>75</v>
      </c>
      <c r="J119" s="46" t="s">
        <v>67</v>
      </c>
      <c r="K119" s="45" t="s">
        <v>65</v>
      </c>
      <c r="L119" s="46" t="s">
        <v>67</v>
      </c>
      <c r="M119" s="47"/>
      <c r="N119" s="63" t="s">
        <v>99</v>
      </c>
      <c r="O119" s="63" t="s">
        <v>102</v>
      </c>
      <c r="P119" s="64" t="s">
        <v>104</v>
      </c>
      <c r="Q119" s="65" t="s">
        <v>105</v>
      </c>
      <c r="R119" s="66" t="s">
        <v>61</v>
      </c>
      <c r="S119" s="137" t="s">
        <v>111</v>
      </c>
      <c r="T119" s="138" t="s">
        <v>112</v>
      </c>
      <c r="V119" s="105">
        <f>(S120+S121+S122+S123)</f>
        <v>270.97843598158897</v>
      </c>
    </row>
    <row r="120" spans="1:22" x14ac:dyDescent="0.25">
      <c r="A120" s="55" t="s">
        <v>45</v>
      </c>
      <c r="B120" s="143">
        <v>408389516</v>
      </c>
      <c r="C120" s="41">
        <v>443243</v>
      </c>
      <c r="D120" s="53">
        <f>(E120/C120)</f>
        <v>127.4030272333686</v>
      </c>
      <c r="E120" s="20">
        <v>56470500</v>
      </c>
      <c r="F120" s="40">
        <f>(E120/B120)</f>
        <v>0.13827607660721633</v>
      </c>
      <c r="G120" s="20">
        <v>51500500</v>
      </c>
      <c r="H120" s="14">
        <f>(G120/E120)</f>
        <v>0.91198944581684238</v>
      </c>
      <c r="J120" s="14">
        <f>(I120/E120)</f>
        <v>0</v>
      </c>
      <c r="K120" s="20">
        <v>4970000</v>
      </c>
      <c r="L120" s="15">
        <f>(K120/E120)</f>
        <v>8.8010554183157577E-2</v>
      </c>
      <c r="M120" s="19">
        <f>G120+I120+K120</f>
        <v>56470500</v>
      </c>
      <c r="N120" s="38">
        <v>27500000</v>
      </c>
      <c r="O120" s="54"/>
      <c r="P120" s="59">
        <f t="shared" si="30"/>
        <v>27500000</v>
      </c>
      <c r="Q120" s="91">
        <v>408428716</v>
      </c>
      <c r="R120" s="23">
        <f>(P120/Q120)</f>
        <v>6.7331210864223362E-2</v>
      </c>
      <c r="S120" s="105">
        <f>(P120/C120)</f>
        <v>62.042716974661751</v>
      </c>
      <c r="T120" s="105">
        <f>(N120/C120)</f>
        <v>62.042716974661751</v>
      </c>
      <c r="V120">
        <v>4</v>
      </c>
    </row>
    <row r="121" spans="1:22" x14ac:dyDescent="0.25">
      <c r="A121" s="55" t="s">
        <v>49</v>
      </c>
      <c r="B121" s="143">
        <v>188748551</v>
      </c>
      <c r="C121" s="41">
        <v>214177</v>
      </c>
      <c r="D121" s="53">
        <f>(E121/C121)</f>
        <v>169.49781255690388</v>
      </c>
      <c r="E121" s="39">
        <v>36302533</v>
      </c>
      <c r="F121" s="40">
        <f>(E121/B121)</f>
        <v>0.19233277716659133</v>
      </c>
      <c r="G121" s="20">
        <v>30032662</v>
      </c>
      <c r="H121" s="14">
        <f>(G121/E121)</f>
        <v>0.82728833274526603</v>
      </c>
      <c r="I121" s="20"/>
      <c r="J121" s="14">
        <f>(I121/E121)</f>
        <v>0</v>
      </c>
      <c r="K121" s="39">
        <v>6269871</v>
      </c>
      <c r="L121" s="15">
        <f>(K121/E121)</f>
        <v>0.172711667254734</v>
      </c>
      <c r="M121" s="19">
        <f>G121+I121+K121</f>
        <v>36302533</v>
      </c>
      <c r="N121" s="38">
        <v>15000000</v>
      </c>
      <c r="O121" s="54">
        <v>141000</v>
      </c>
      <c r="P121" s="59">
        <f t="shared" si="30"/>
        <v>15141000</v>
      </c>
      <c r="Q121" s="91">
        <v>190578875</v>
      </c>
      <c r="R121" s="23">
        <f>(P121/Q121)</f>
        <v>7.9447420392212934E-2</v>
      </c>
      <c r="S121" s="105">
        <f>(P121/C121)</f>
        <v>70.693865354356447</v>
      </c>
      <c r="T121" s="105">
        <f>(N121/C121)</f>
        <v>70.035531359576424</v>
      </c>
    </row>
    <row r="122" spans="1:22" x14ac:dyDescent="0.25">
      <c r="A122" s="55" t="s">
        <v>139</v>
      </c>
      <c r="B122" s="143">
        <v>73697595.170000002</v>
      </c>
      <c r="C122" s="41">
        <v>92299</v>
      </c>
      <c r="D122" s="53">
        <f>(E122/C122)</f>
        <v>30.666397577438541</v>
      </c>
      <c r="E122" s="39">
        <v>2830477.83</v>
      </c>
      <c r="F122" s="40">
        <f>(E122/B122)</f>
        <v>3.8406651173228508E-2</v>
      </c>
      <c r="G122" s="20">
        <v>2683386.5499999998</v>
      </c>
      <c r="H122" s="14">
        <f>(G122/E122)</f>
        <v>0.94803305701921003</v>
      </c>
      <c r="I122" s="20"/>
      <c r="J122" s="14"/>
      <c r="K122" s="39">
        <v>147091.28</v>
      </c>
      <c r="L122" s="15">
        <f>(K122/E122)</f>
        <v>5.1966942980789924E-2</v>
      </c>
      <c r="M122" s="19">
        <f>G122+I122+K122</f>
        <v>2830477.8299999996</v>
      </c>
      <c r="N122" s="38">
        <v>4500000</v>
      </c>
      <c r="O122" s="54"/>
      <c r="P122" s="59">
        <f t="shared" si="30"/>
        <v>4500000</v>
      </c>
      <c r="Q122" s="91"/>
      <c r="R122" s="23"/>
      <c r="S122" s="105">
        <f t="shared" ref="S122:S123" si="50">(P122/C122)</f>
        <v>48.754591057324568</v>
      </c>
      <c r="T122" s="105"/>
    </row>
    <row r="123" spans="1:22" x14ac:dyDescent="0.25">
      <c r="A123" s="55" t="s">
        <v>140</v>
      </c>
      <c r="B123" s="143">
        <v>58083192</v>
      </c>
      <c r="C123" s="41">
        <v>70344</v>
      </c>
      <c r="D123" s="53">
        <f>(E123/C123)</f>
        <v>89.487262595246222</v>
      </c>
      <c r="E123" s="39">
        <v>6294892</v>
      </c>
      <c r="F123" s="40">
        <f>(E123/B123)</f>
        <v>0.10837717045578349</v>
      </c>
      <c r="G123" s="20">
        <v>5195777</v>
      </c>
      <c r="H123" s="14">
        <f>(G123/E123)</f>
        <v>0.82539573355666784</v>
      </c>
      <c r="I123" s="20"/>
      <c r="J123" s="14"/>
      <c r="K123" s="39">
        <v>1099115</v>
      </c>
      <c r="L123" s="15">
        <f>(K123/E123)</f>
        <v>0.17460426644333216</v>
      </c>
      <c r="M123" s="19">
        <f>G123+I123+K123</f>
        <v>6294892</v>
      </c>
      <c r="N123" s="38">
        <v>5195777</v>
      </c>
      <c r="O123" s="54">
        <v>1099115</v>
      </c>
      <c r="P123" s="59">
        <f t="shared" si="30"/>
        <v>6294892</v>
      </c>
      <c r="Q123" s="91"/>
      <c r="R123" s="23"/>
      <c r="S123" s="105">
        <f t="shared" si="50"/>
        <v>89.487262595246222</v>
      </c>
      <c r="T123" s="105"/>
    </row>
    <row r="124" spans="1:22" ht="15.75" thickBot="1" x14ac:dyDescent="0.3">
      <c r="A124" s="111"/>
      <c r="B124" s="91"/>
      <c r="C124" s="41"/>
      <c r="D124" s="191">
        <f>SUM(D120:D123)</f>
        <v>417.05449996295727</v>
      </c>
      <c r="E124" s="39"/>
      <c r="F124" s="40">
        <f>SUM(F120:F123)</f>
        <v>0.47739267540281966</v>
      </c>
      <c r="G124" s="20"/>
      <c r="H124" s="14"/>
      <c r="I124" s="20"/>
      <c r="J124" s="14"/>
      <c r="K124" s="20"/>
      <c r="L124" s="15"/>
      <c r="M124" s="19"/>
      <c r="N124" s="38"/>
      <c r="O124" s="54"/>
      <c r="P124" s="59"/>
      <c r="Q124" s="91"/>
      <c r="R124" s="23"/>
      <c r="S124" s="105"/>
      <c r="T124" s="105"/>
    </row>
    <row r="125" spans="1:22" ht="15.75" thickBot="1" x14ac:dyDescent="0.3">
      <c r="A125" s="24"/>
      <c r="B125" s="33"/>
      <c r="C125" s="28"/>
      <c r="D125" s="34"/>
      <c r="E125" s="20"/>
      <c r="F125" s="15"/>
      <c r="G125" s="20"/>
      <c r="H125" s="14"/>
      <c r="I125" s="20"/>
      <c r="J125" s="14"/>
      <c r="K125" s="20"/>
      <c r="L125" s="15"/>
      <c r="M125" s="19"/>
      <c r="N125" s="12"/>
      <c r="P125" s="59">
        <f t="shared" si="30"/>
        <v>0</v>
      </c>
      <c r="R125" s="23">
        <f>SUM(R120:R124)</f>
        <v>0.14677863125643631</v>
      </c>
      <c r="S125" s="105"/>
      <c r="T125" s="105" t="e">
        <f>(N125/C125)</f>
        <v>#DIV/0!</v>
      </c>
    </row>
    <row r="126" spans="1:22" x14ac:dyDescent="0.25">
      <c r="A126" s="4"/>
      <c r="B126" s="43"/>
      <c r="C126" s="117" t="s">
        <v>98</v>
      </c>
      <c r="D126" s="118">
        <f>(D120+D121+D122+123)/4</f>
        <v>112.64180934192775</v>
      </c>
      <c r="E126" s="160" t="s">
        <v>97</v>
      </c>
      <c r="F126" s="161">
        <f>(F120+F121+F122+F123)/4</f>
        <v>0.11934816885070491</v>
      </c>
      <c r="G126" s="20"/>
      <c r="H126" s="14"/>
      <c r="I126" s="20"/>
      <c r="J126" s="14"/>
      <c r="K126" s="20"/>
      <c r="L126" s="15"/>
      <c r="M126" s="19"/>
      <c r="N126" s="12"/>
      <c r="P126" s="59">
        <f t="shared" si="30"/>
        <v>0</v>
      </c>
      <c r="R126" s="23"/>
      <c r="S126" s="105"/>
      <c r="T126" s="105" t="e">
        <f>(N126/C126)</f>
        <v>#VALUE!</v>
      </c>
    </row>
    <row r="127" spans="1:22" ht="15.75" x14ac:dyDescent="0.25">
      <c r="A127" s="35" t="s">
        <v>141</v>
      </c>
      <c r="B127" s="35" t="s">
        <v>72</v>
      </c>
      <c r="C127" s="46" t="s">
        <v>0</v>
      </c>
      <c r="D127" s="45" t="s">
        <v>63</v>
      </c>
      <c r="E127" s="45" t="s">
        <v>69</v>
      </c>
      <c r="F127" s="45" t="s">
        <v>61</v>
      </c>
      <c r="G127" s="45" t="s">
        <v>74</v>
      </c>
      <c r="H127" s="46" t="s">
        <v>67</v>
      </c>
      <c r="I127" s="45" t="s">
        <v>75</v>
      </c>
      <c r="J127" s="46" t="s">
        <v>67</v>
      </c>
      <c r="K127" s="45" t="s">
        <v>65</v>
      </c>
      <c r="L127" s="46" t="s">
        <v>67</v>
      </c>
      <c r="M127" s="47"/>
      <c r="N127" s="63" t="s">
        <v>99</v>
      </c>
      <c r="O127" s="63" t="s">
        <v>102</v>
      </c>
      <c r="P127" s="64" t="s">
        <v>104</v>
      </c>
      <c r="Q127" s="65" t="s">
        <v>105</v>
      </c>
      <c r="R127" s="66" t="s">
        <v>61</v>
      </c>
      <c r="S127" s="137" t="s">
        <v>111</v>
      </c>
      <c r="T127" s="138" t="s">
        <v>112</v>
      </c>
    </row>
    <row r="128" spans="1:22" x14ac:dyDescent="0.25">
      <c r="A128" s="103" t="s">
        <v>117</v>
      </c>
      <c r="B128" s="143">
        <v>196508444</v>
      </c>
      <c r="C128" s="3">
        <v>197138</v>
      </c>
      <c r="D128" s="4"/>
      <c r="E128" s="20"/>
      <c r="F128" s="15"/>
      <c r="G128" s="20"/>
      <c r="H128" s="14"/>
      <c r="I128" s="20"/>
      <c r="J128" s="14"/>
      <c r="K128" s="20"/>
      <c r="L128" s="15"/>
      <c r="M128" s="19"/>
      <c r="N128" s="12" t="s">
        <v>109</v>
      </c>
      <c r="P128" s="59" t="e">
        <f t="shared" si="30"/>
        <v>#VALUE!</v>
      </c>
      <c r="Q128" s="100">
        <v>206964040</v>
      </c>
      <c r="R128" s="23"/>
      <c r="S128" s="105"/>
      <c r="T128" s="105" t="e">
        <f>(N128/C128)</f>
        <v>#VALUE!</v>
      </c>
      <c r="V128">
        <v>0</v>
      </c>
    </row>
    <row r="129" spans="1:22" x14ac:dyDescent="0.25">
      <c r="A129" s="44" t="s">
        <v>142</v>
      </c>
      <c r="B129" s="143">
        <v>32801522.27</v>
      </c>
      <c r="C129" s="3">
        <v>35298</v>
      </c>
      <c r="D129" s="4"/>
      <c r="E129" s="20"/>
      <c r="F129" s="15"/>
      <c r="G129" s="20"/>
      <c r="H129" s="14"/>
      <c r="I129" s="20"/>
      <c r="J129" s="14"/>
      <c r="K129" s="20"/>
      <c r="L129" s="15"/>
      <c r="M129" s="19"/>
      <c r="N129" s="12" t="s">
        <v>109</v>
      </c>
      <c r="P129" s="59"/>
      <c r="Q129" s="100"/>
      <c r="R129" s="23"/>
      <c r="S129" s="105"/>
      <c r="T129" s="105"/>
    </row>
    <row r="130" spans="1:22" ht="15.75" thickBot="1" x14ac:dyDescent="0.3">
      <c r="A130" s="44" t="s">
        <v>143</v>
      </c>
      <c r="B130" s="143">
        <v>12812152.140000001</v>
      </c>
      <c r="C130" s="3">
        <v>18591</v>
      </c>
      <c r="D130" s="4"/>
      <c r="E130" s="20"/>
      <c r="F130" s="15"/>
      <c r="G130" s="20"/>
      <c r="H130" s="14"/>
      <c r="I130" s="20"/>
      <c r="J130" s="14"/>
      <c r="K130" s="20"/>
      <c r="L130" s="15"/>
      <c r="M130" s="19"/>
      <c r="N130" s="12" t="s">
        <v>109</v>
      </c>
      <c r="P130" s="59"/>
      <c r="Q130" s="100"/>
      <c r="R130" s="23"/>
      <c r="S130" s="105"/>
      <c r="T130" s="105"/>
    </row>
    <row r="131" spans="1:22" ht="15.75" thickBot="1" x14ac:dyDescent="0.3">
      <c r="A131" s="24"/>
      <c r="B131" s="33"/>
      <c r="C131" s="28"/>
      <c r="D131" s="34"/>
      <c r="E131" s="20"/>
      <c r="F131" s="15"/>
      <c r="G131" s="20"/>
      <c r="H131" s="14"/>
      <c r="I131" s="20"/>
      <c r="J131" s="14"/>
      <c r="K131" s="20"/>
      <c r="L131" s="15"/>
      <c r="M131" s="19"/>
      <c r="N131" s="12"/>
      <c r="P131" s="59">
        <f t="shared" si="30"/>
        <v>0</v>
      </c>
      <c r="R131" s="23"/>
      <c r="S131" s="105"/>
      <c r="T131" s="105" t="e">
        <f>(N131/C131)</f>
        <v>#DIV/0!</v>
      </c>
    </row>
    <row r="132" spans="1:22" x14ac:dyDescent="0.25">
      <c r="A132" s="4"/>
      <c r="B132" s="43"/>
      <c r="C132" s="2"/>
      <c r="D132" s="4"/>
      <c r="E132" s="20"/>
      <c r="F132" s="15"/>
      <c r="G132" s="20"/>
      <c r="H132" s="14"/>
      <c r="I132" s="20"/>
      <c r="J132" s="14"/>
      <c r="K132" s="20"/>
      <c r="L132" s="15"/>
      <c r="M132" s="19"/>
      <c r="N132" s="12"/>
      <c r="P132" s="59">
        <f t="shared" si="30"/>
        <v>0</v>
      </c>
      <c r="R132" s="23"/>
      <c r="S132" s="105"/>
      <c r="T132" s="105" t="e">
        <f>(N132/C132)</f>
        <v>#DIV/0!</v>
      </c>
      <c r="V132" s="105">
        <f>(S134+S135+S136+S137)</f>
        <v>258.88252026314859</v>
      </c>
    </row>
    <row r="133" spans="1:22" ht="15.75" x14ac:dyDescent="0.25">
      <c r="A133" s="35" t="s">
        <v>82</v>
      </c>
      <c r="B133" s="35" t="s">
        <v>72</v>
      </c>
      <c r="C133" s="46" t="s">
        <v>0</v>
      </c>
      <c r="D133" s="45" t="s">
        <v>63</v>
      </c>
      <c r="E133" s="45" t="s">
        <v>69</v>
      </c>
      <c r="F133" s="45" t="s">
        <v>61</v>
      </c>
      <c r="G133" s="45" t="s">
        <v>74</v>
      </c>
      <c r="H133" s="46" t="s">
        <v>67</v>
      </c>
      <c r="I133" s="45" t="s">
        <v>75</v>
      </c>
      <c r="J133" s="46" t="s">
        <v>67</v>
      </c>
      <c r="K133" s="45" t="s">
        <v>65</v>
      </c>
      <c r="L133" s="46" t="s">
        <v>67</v>
      </c>
      <c r="M133" s="47"/>
      <c r="N133" s="63" t="s">
        <v>99</v>
      </c>
      <c r="O133" s="63" t="s">
        <v>102</v>
      </c>
      <c r="P133" s="64" t="s">
        <v>104</v>
      </c>
      <c r="Q133" s="65" t="s">
        <v>105</v>
      </c>
      <c r="R133" s="66" t="s">
        <v>61</v>
      </c>
      <c r="S133" s="137" t="s">
        <v>111</v>
      </c>
      <c r="T133" s="138" t="s">
        <v>112</v>
      </c>
      <c r="V133">
        <v>4</v>
      </c>
    </row>
    <row r="134" spans="1:22" x14ac:dyDescent="0.25">
      <c r="A134" s="55" t="s">
        <v>38</v>
      </c>
      <c r="B134" s="143">
        <v>527900000</v>
      </c>
      <c r="C134" s="3">
        <v>345110</v>
      </c>
      <c r="D134" s="53">
        <f>(E134/C134)</f>
        <v>72.1331053866883</v>
      </c>
      <c r="E134" s="20">
        <v>24893856</v>
      </c>
      <c r="F134" s="40">
        <f>(E134/B134)</f>
        <v>4.7156385679105892E-2</v>
      </c>
      <c r="G134" s="20">
        <v>18695290</v>
      </c>
      <c r="H134" s="14">
        <f>(G134/E134)</f>
        <v>0.75100016646677803</v>
      </c>
      <c r="I134" s="20">
        <v>6198566</v>
      </c>
      <c r="J134" s="14">
        <f>(I134/E134)</f>
        <v>0.24899983353322203</v>
      </c>
      <c r="K134" s="20"/>
      <c r="L134" s="15">
        <f>(K134/E134)</f>
        <v>0</v>
      </c>
      <c r="M134" s="19">
        <f>G134+I134+K134</f>
        <v>24893856</v>
      </c>
      <c r="N134" s="38">
        <v>21726000</v>
      </c>
      <c r="O134">
        <v>0</v>
      </c>
      <c r="P134" s="59">
        <f t="shared" si="30"/>
        <v>21726000</v>
      </c>
      <c r="Q134" s="100">
        <v>549673830</v>
      </c>
      <c r="R134" s="23">
        <f>(P134/Q134)</f>
        <v>3.9525258097151905E-2</v>
      </c>
      <c r="S134" s="105">
        <f>(P134/C134)</f>
        <v>62.953840804381208</v>
      </c>
      <c r="T134" s="105">
        <f>(N134/C134)</f>
        <v>62.953840804381208</v>
      </c>
    </row>
    <row r="135" spans="1:22" x14ac:dyDescent="0.25">
      <c r="A135" s="55" t="s">
        <v>106</v>
      </c>
      <c r="B135" s="143">
        <v>361121372</v>
      </c>
      <c r="C135" s="3">
        <v>246976</v>
      </c>
      <c r="D135" s="101">
        <f>(E135/C135)</f>
        <v>78.754725155480699</v>
      </c>
      <c r="E135" s="20">
        <v>19450527</v>
      </c>
      <c r="F135" s="40">
        <f>(E135/B135)</f>
        <v>5.386146738498767E-2</v>
      </c>
      <c r="G135" s="20">
        <v>19450527</v>
      </c>
      <c r="H135" s="14">
        <f>(G135/E135)</f>
        <v>1</v>
      </c>
      <c r="I135" s="20"/>
      <c r="J135" s="14">
        <f>(I135/E135)</f>
        <v>0</v>
      </c>
      <c r="K135" s="20"/>
      <c r="L135" s="15">
        <f>(K135/E135)</f>
        <v>0</v>
      </c>
      <c r="M135" s="19">
        <f>G135+I135+K135</f>
        <v>19450527</v>
      </c>
      <c r="N135" s="38">
        <v>10900000</v>
      </c>
      <c r="O135" s="102">
        <v>5706000</v>
      </c>
      <c r="P135" s="59">
        <f t="shared" si="30"/>
        <v>16606000</v>
      </c>
      <c r="Q135" s="100">
        <v>428026921</v>
      </c>
      <c r="R135" s="23">
        <f>(P135/Q135)</f>
        <v>3.8796625130969271E-2</v>
      </c>
      <c r="S135" s="105">
        <f>(P135/C135)</f>
        <v>67.237302409950757</v>
      </c>
      <c r="T135" s="105">
        <f>(N135/C135)</f>
        <v>44.133842964498577</v>
      </c>
    </row>
    <row r="136" spans="1:22" x14ac:dyDescent="0.25">
      <c r="A136" s="55" t="s">
        <v>39</v>
      </c>
      <c r="B136" s="143">
        <v>335735364</v>
      </c>
      <c r="C136" s="3">
        <v>186370</v>
      </c>
      <c r="D136" s="53">
        <f>(E136/C136)</f>
        <v>101.30624027472233</v>
      </c>
      <c r="E136" s="20">
        <v>18880444</v>
      </c>
      <c r="F136" s="40">
        <f>(E136/B136)</f>
        <v>5.6236089564875268E-2</v>
      </c>
      <c r="G136" s="20">
        <v>18880444</v>
      </c>
      <c r="H136" s="14">
        <f>(G136/E136)</f>
        <v>1</v>
      </c>
      <c r="I136" s="20"/>
      <c r="J136" s="14">
        <f>(I136/E136)</f>
        <v>0</v>
      </c>
      <c r="K136" s="20"/>
      <c r="L136" s="15">
        <f>(K136/E136)</f>
        <v>0</v>
      </c>
      <c r="M136" s="19">
        <f>G136+I136+K136</f>
        <v>18880444</v>
      </c>
      <c r="N136" s="38">
        <v>14868285</v>
      </c>
      <c r="P136" s="59">
        <f t="shared" si="30"/>
        <v>14868285</v>
      </c>
      <c r="Q136" s="100">
        <v>345135368</v>
      </c>
      <c r="R136" s="23">
        <f>(P136/Q136)</f>
        <v>4.3079575084289827E-2</v>
      </c>
      <c r="S136" s="105">
        <f>(P136/C136)</f>
        <v>79.778317325749853</v>
      </c>
      <c r="T136" s="105">
        <f>(N136/C136)</f>
        <v>79.778317325749853</v>
      </c>
    </row>
    <row r="137" spans="1:22" ht="15.75" thickBot="1" x14ac:dyDescent="0.3">
      <c r="A137" s="148" t="s">
        <v>107</v>
      </c>
      <c r="B137" s="143">
        <v>105982406.18000001</v>
      </c>
      <c r="C137" s="3">
        <v>100313</v>
      </c>
      <c r="D137" s="53">
        <f>(E137/C137)</f>
        <v>49.304511678446467</v>
      </c>
      <c r="E137" s="20">
        <v>4945883.4800000004</v>
      </c>
      <c r="F137" s="40">
        <f>(E137/B137)</f>
        <v>4.6667023879415757E-2</v>
      </c>
      <c r="G137" s="20"/>
      <c r="H137" s="14"/>
      <c r="I137" s="20">
        <v>4842603.6500000004</v>
      </c>
      <c r="J137" s="14">
        <f>(I137/E137)</f>
        <v>0.97911802200402831</v>
      </c>
      <c r="K137" s="20">
        <v>103279.83</v>
      </c>
      <c r="L137" s="15">
        <f>(K137/E137)</f>
        <v>2.0881977995971711E-2</v>
      </c>
      <c r="M137" s="19">
        <f>G137+I137+K137</f>
        <v>4945883.4800000004</v>
      </c>
      <c r="N137" s="38">
        <v>4906615.76</v>
      </c>
      <c r="P137" s="59">
        <f t="shared" si="30"/>
        <v>4906615.76</v>
      </c>
      <c r="Q137" s="100"/>
      <c r="R137" s="23"/>
      <c r="S137" s="105">
        <f>(P137/C137)</f>
        <v>48.913059723066802</v>
      </c>
      <c r="T137" s="105"/>
    </row>
    <row r="138" spans="1:22" ht="15.75" thickBot="1" x14ac:dyDescent="0.3">
      <c r="A138" s="24"/>
      <c r="B138" s="33"/>
      <c r="C138" s="28"/>
      <c r="D138" s="189">
        <f>SUM(D134:D137)</f>
        <v>301.49858249533781</v>
      </c>
      <c r="E138" s="20"/>
      <c r="F138" s="15">
        <f>SUM(F134:F137)</f>
        <v>0.20392096650838459</v>
      </c>
      <c r="G138" s="20"/>
      <c r="H138" s="14"/>
      <c r="I138" s="20"/>
      <c r="J138" s="14"/>
      <c r="K138" s="20"/>
      <c r="L138" s="15"/>
      <c r="M138" s="19"/>
      <c r="N138" s="12"/>
      <c r="P138" s="59">
        <f t="shared" si="30"/>
        <v>0</v>
      </c>
      <c r="R138" s="23">
        <f>SUM(R134:R137)</f>
        <v>0.121401458312411</v>
      </c>
      <c r="S138" s="105"/>
      <c r="T138" s="105" t="e">
        <f>(N138/C138)</f>
        <v>#DIV/0!</v>
      </c>
    </row>
    <row r="139" spans="1:22" x14ac:dyDescent="0.25">
      <c r="B139" s="43"/>
      <c r="C139" s="117" t="s">
        <v>98</v>
      </c>
      <c r="D139" s="118">
        <f>(D134+D135+D136+D137)/4</f>
        <v>75.374645623834454</v>
      </c>
      <c r="E139" s="160" t="s">
        <v>97</v>
      </c>
      <c r="F139" s="161">
        <f>(F134+F135+F136+F137)/4</f>
        <v>5.0980241627096148E-2</v>
      </c>
      <c r="G139" s="20"/>
      <c r="H139" s="14"/>
      <c r="I139" s="20"/>
      <c r="J139" s="14"/>
      <c r="K139" s="20"/>
      <c r="L139" s="15"/>
      <c r="M139" s="19"/>
      <c r="N139" s="12"/>
      <c r="P139" s="59">
        <f t="shared" si="30"/>
        <v>0</v>
      </c>
      <c r="R139" s="23"/>
      <c r="S139" s="105"/>
      <c r="T139" s="105" t="e">
        <f>(N139/C139)</f>
        <v>#VALUE!</v>
      </c>
    </row>
    <row r="140" spans="1:22" ht="15.75" x14ac:dyDescent="0.25">
      <c r="A140" s="35" t="s">
        <v>144</v>
      </c>
      <c r="B140" s="35" t="s">
        <v>72</v>
      </c>
      <c r="C140" s="46" t="s">
        <v>0</v>
      </c>
      <c r="D140" s="45" t="s">
        <v>63</v>
      </c>
      <c r="E140" s="45" t="s">
        <v>69</v>
      </c>
      <c r="F140" s="45" t="s">
        <v>61</v>
      </c>
      <c r="G140" s="45" t="s">
        <v>74</v>
      </c>
      <c r="H140" s="46" t="s">
        <v>67</v>
      </c>
      <c r="I140" s="45" t="s">
        <v>75</v>
      </c>
      <c r="J140" s="46" t="s">
        <v>67</v>
      </c>
      <c r="K140" s="45" t="s">
        <v>65</v>
      </c>
      <c r="L140" s="46" t="s">
        <v>67</v>
      </c>
      <c r="M140" s="47"/>
      <c r="N140" s="63" t="s">
        <v>99</v>
      </c>
      <c r="O140" s="63" t="s">
        <v>102</v>
      </c>
      <c r="P140" s="64" t="s">
        <v>104</v>
      </c>
      <c r="Q140" s="65" t="s">
        <v>105</v>
      </c>
      <c r="R140" s="66" t="s">
        <v>61</v>
      </c>
      <c r="S140" s="137" t="s">
        <v>111</v>
      </c>
      <c r="T140" s="138" t="s">
        <v>112</v>
      </c>
      <c r="V140" s="105">
        <f>(S141+S142+S143+S144)</f>
        <v>160.43590615411631</v>
      </c>
    </row>
    <row r="141" spans="1:22" x14ac:dyDescent="0.25">
      <c r="A141" t="s">
        <v>46</v>
      </c>
      <c r="B141" s="143">
        <v>169537000</v>
      </c>
      <c r="C141" s="3">
        <v>150979</v>
      </c>
      <c r="D141" s="53">
        <f>(E141/C141)</f>
        <v>43.59683797084363</v>
      </c>
      <c r="E141" s="20">
        <v>6582207</v>
      </c>
      <c r="F141" s="40">
        <f>(E141/B141)</f>
        <v>3.8824604658570107E-2</v>
      </c>
      <c r="G141" s="20">
        <v>6582207</v>
      </c>
      <c r="H141" s="14">
        <f>(G141/E141)</f>
        <v>1</v>
      </c>
      <c r="I141" s="20"/>
      <c r="J141" s="14"/>
      <c r="K141" s="20"/>
      <c r="L141" s="15"/>
      <c r="M141" s="19">
        <f t="shared" ref="M141:M144" si="51">G141+I141+K141</f>
        <v>6582207</v>
      </c>
      <c r="N141" s="38">
        <v>7200000</v>
      </c>
      <c r="P141" s="59">
        <f t="shared" si="30"/>
        <v>7200000</v>
      </c>
      <c r="Q141" s="100">
        <v>169537000</v>
      </c>
      <c r="R141" s="23">
        <f>(P141/Q141)</f>
        <v>4.246860567309791E-2</v>
      </c>
      <c r="S141" s="105">
        <f>(P141/C141)</f>
        <v>47.68875141575981</v>
      </c>
      <c r="T141" s="105">
        <f>(N141/C141)</f>
        <v>47.68875141575981</v>
      </c>
      <c r="V141">
        <v>4</v>
      </c>
    </row>
    <row r="142" spans="1:22" x14ac:dyDescent="0.25">
      <c r="A142" t="s">
        <v>145</v>
      </c>
      <c r="B142" s="143">
        <v>21171155.210000001</v>
      </c>
      <c r="C142" s="3">
        <v>23737</v>
      </c>
      <c r="D142" s="53">
        <f t="shared" ref="D142:D144" si="52">(E142/C142)</f>
        <v>35.177149597674514</v>
      </c>
      <c r="E142" s="20">
        <v>835000</v>
      </c>
      <c r="F142" s="40">
        <f>(E142/B142)</f>
        <v>3.9440455266493694E-2</v>
      </c>
      <c r="G142" s="20">
        <v>835000</v>
      </c>
      <c r="H142" s="14">
        <f>(G142/E142)</f>
        <v>1</v>
      </c>
      <c r="I142" s="20"/>
      <c r="J142" s="14"/>
      <c r="K142" s="20"/>
      <c r="L142" s="15"/>
      <c r="M142" s="19">
        <f t="shared" si="51"/>
        <v>835000</v>
      </c>
      <c r="N142" s="38">
        <v>714000</v>
      </c>
      <c r="P142" s="59">
        <f t="shared" si="30"/>
        <v>714000</v>
      </c>
      <c r="Q142" s="100"/>
      <c r="R142" s="23"/>
      <c r="S142" s="105">
        <f t="shared" ref="S142:S144" si="53">(P142/C142)</f>
        <v>30.07962253022707</v>
      </c>
      <c r="T142" s="105"/>
    </row>
    <row r="143" spans="1:22" x14ac:dyDescent="0.25">
      <c r="A143" t="s">
        <v>146</v>
      </c>
      <c r="B143" s="143">
        <v>13067000</v>
      </c>
      <c r="C143" s="3">
        <v>14756</v>
      </c>
      <c r="D143" s="53">
        <f t="shared" si="52"/>
        <v>37.441494307400376</v>
      </c>
      <c r="E143" s="20">
        <v>552486.68999999994</v>
      </c>
      <c r="F143" s="40">
        <f t="shared" ref="F143:F144" si="54">(E143/B143)</f>
        <v>4.228106604423356E-2</v>
      </c>
      <c r="G143" s="20">
        <v>442101.23</v>
      </c>
      <c r="H143" s="14">
        <f>(G143/E143)</f>
        <v>0.80020249899594875</v>
      </c>
      <c r="I143" s="20">
        <v>110385.46</v>
      </c>
      <c r="J143" s="14">
        <f>(I143/E143)</f>
        <v>0.19979750100405136</v>
      </c>
      <c r="K143" s="20"/>
      <c r="L143" s="15"/>
      <c r="M143" s="19">
        <f t="shared" si="51"/>
        <v>552486.68999999994</v>
      </c>
      <c r="N143" s="38">
        <v>515000</v>
      </c>
      <c r="P143" s="59">
        <f t="shared" si="30"/>
        <v>515000</v>
      </c>
      <c r="Q143" s="100"/>
      <c r="R143" s="23"/>
      <c r="S143" s="105">
        <f t="shared" si="53"/>
        <v>34.901057197072376</v>
      </c>
      <c r="T143" s="105"/>
    </row>
    <row r="144" spans="1:22" ht="15.75" thickBot="1" x14ac:dyDescent="0.3">
      <c r="A144" t="s">
        <v>147</v>
      </c>
      <c r="B144" s="143">
        <v>12482000</v>
      </c>
      <c r="C144" s="3">
        <v>11305</v>
      </c>
      <c r="D144" s="53">
        <f t="shared" si="52"/>
        <v>47.854931446262718</v>
      </c>
      <c r="E144" s="20">
        <v>541000</v>
      </c>
      <c r="F144" s="40">
        <f t="shared" si="54"/>
        <v>4.3342413074827751E-2</v>
      </c>
      <c r="G144" s="20">
        <v>213000</v>
      </c>
      <c r="H144" s="14">
        <f>(G144/E144)</f>
        <v>0.39371534195933455</v>
      </c>
      <c r="I144" s="20"/>
      <c r="J144" s="14"/>
      <c r="K144" s="20">
        <v>328000</v>
      </c>
      <c r="L144" s="15">
        <f>(K144/E144)</f>
        <v>0.60628465804066545</v>
      </c>
      <c r="M144" s="19">
        <f t="shared" si="51"/>
        <v>541000</v>
      </c>
      <c r="N144" s="38">
        <v>540000</v>
      </c>
      <c r="P144" s="59">
        <f t="shared" si="30"/>
        <v>540000</v>
      </c>
      <c r="Q144" s="100"/>
      <c r="R144" s="23"/>
      <c r="S144" s="105">
        <f t="shared" si="53"/>
        <v>47.766475011057054</v>
      </c>
      <c r="T144" s="105"/>
    </row>
    <row r="145" spans="1:22" ht="15.75" thickBot="1" x14ac:dyDescent="0.3">
      <c r="A145" s="24"/>
      <c r="B145" s="33"/>
      <c r="C145" s="28"/>
      <c r="D145" s="189">
        <f>SUM(D141:D144)</f>
        <v>164.07041332218125</v>
      </c>
      <c r="E145" s="20"/>
      <c r="F145" s="15">
        <f>SUM(F141:F144)</f>
        <v>0.16388853904412512</v>
      </c>
      <c r="G145" s="20"/>
      <c r="H145" s="14"/>
      <c r="I145" s="20"/>
      <c r="J145" s="14"/>
      <c r="K145" s="20"/>
      <c r="L145" s="15"/>
      <c r="M145" s="19"/>
      <c r="N145" s="12"/>
      <c r="P145" s="59">
        <f t="shared" si="30"/>
        <v>0</v>
      </c>
      <c r="R145" s="23" t="e">
        <f>(P145/Q145)</f>
        <v>#DIV/0!</v>
      </c>
      <c r="S145" s="105"/>
      <c r="T145" s="105" t="e">
        <f>(N145/C145)</f>
        <v>#DIV/0!</v>
      </c>
    </row>
    <row r="146" spans="1:22" x14ac:dyDescent="0.25">
      <c r="A146" s="1"/>
      <c r="B146" s="43"/>
      <c r="C146" s="117" t="s">
        <v>98</v>
      </c>
      <c r="D146" s="118">
        <f>(D141+D142+D143+D144)/4</f>
        <v>41.017603330545313</v>
      </c>
      <c r="E146" s="164" t="s">
        <v>97</v>
      </c>
      <c r="F146" s="161">
        <f>(F141+F142+F143+F144)/4</f>
        <v>4.097213476103128E-2</v>
      </c>
      <c r="G146" s="20"/>
      <c r="H146" s="14"/>
      <c r="I146" s="20"/>
      <c r="J146" s="14"/>
      <c r="K146" s="20"/>
      <c r="L146" s="15"/>
      <c r="M146" s="19"/>
      <c r="N146" s="12"/>
      <c r="P146" s="59">
        <f t="shared" si="30"/>
        <v>0</v>
      </c>
      <c r="R146" s="23" t="e">
        <f>(P146/Q146)</f>
        <v>#DIV/0!</v>
      </c>
      <c r="S146" s="105"/>
      <c r="T146" s="105" t="e">
        <f>(N146/C146)</f>
        <v>#VALUE!</v>
      </c>
    </row>
    <row r="147" spans="1:22" ht="15.75" x14ac:dyDescent="0.25">
      <c r="A147" s="35" t="s">
        <v>83</v>
      </c>
      <c r="B147" s="35" t="s">
        <v>72</v>
      </c>
      <c r="C147" s="46" t="s">
        <v>0</v>
      </c>
      <c r="D147" s="45" t="s">
        <v>63</v>
      </c>
      <c r="E147" s="45" t="s">
        <v>69</v>
      </c>
      <c r="F147" s="45" t="s">
        <v>61</v>
      </c>
      <c r="G147" s="45" t="s">
        <v>74</v>
      </c>
      <c r="H147" s="46" t="s">
        <v>67</v>
      </c>
      <c r="I147" s="45" t="s">
        <v>75</v>
      </c>
      <c r="J147" s="46" t="s">
        <v>67</v>
      </c>
      <c r="K147" s="45" t="s">
        <v>65</v>
      </c>
      <c r="L147" s="46" t="s">
        <v>67</v>
      </c>
      <c r="M147" s="47"/>
      <c r="N147" s="63" t="s">
        <v>99</v>
      </c>
      <c r="O147" s="63" t="s">
        <v>102</v>
      </c>
      <c r="P147" s="64" t="s">
        <v>104</v>
      </c>
      <c r="Q147" s="65" t="s">
        <v>105</v>
      </c>
      <c r="R147" s="66" t="s">
        <v>61</v>
      </c>
      <c r="S147" s="137" t="s">
        <v>111</v>
      </c>
      <c r="T147" s="138" t="s">
        <v>112</v>
      </c>
    </row>
    <row r="148" spans="1:22" x14ac:dyDescent="0.25">
      <c r="A148" s="55" t="s">
        <v>2</v>
      </c>
      <c r="B148" s="143">
        <v>786771269</v>
      </c>
      <c r="C148" s="50">
        <v>787808</v>
      </c>
      <c r="D148" s="150">
        <f>(E148/C148)</f>
        <v>36.260897325236606</v>
      </c>
      <c r="E148" s="51">
        <v>28566625</v>
      </c>
      <c r="F148" s="58">
        <f>(E148/B148)</f>
        <v>3.6308678424809129E-2</v>
      </c>
      <c r="G148" s="19">
        <v>28566625</v>
      </c>
      <c r="H148" s="14">
        <f>(G148/E148)</f>
        <v>1</v>
      </c>
      <c r="J148" s="14">
        <f>(I148/E148)</f>
        <v>0</v>
      </c>
      <c r="K148" s="20"/>
      <c r="L148" s="15">
        <f>(K148/E148)</f>
        <v>0</v>
      </c>
      <c r="M148" s="19">
        <f>G148+I148+K148</f>
        <v>28566625</v>
      </c>
      <c r="N148" s="38"/>
      <c r="O148" s="54"/>
      <c r="P148" s="59">
        <f t="shared" si="30"/>
        <v>0</v>
      </c>
      <c r="Q148" s="100">
        <v>791751702</v>
      </c>
      <c r="R148" s="23"/>
      <c r="S148" s="105"/>
      <c r="T148" s="105"/>
      <c r="V148" s="105">
        <f>(T149+T150+T151)</f>
        <v>134.04052783489743</v>
      </c>
    </row>
    <row r="149" spans="1:22" x14ac:dyDescent="0.25">
      <c r="A149" s="55" t="s">
        <v>92</v>
      </c>
      <c r="B149" s="143">
        <v>243882176</v>
      </c>
      <c r="C149" s="50">
        <v>329988</v>
      </c>
      <c r="D149" s="53">
        <f>(E149/C149)</f>
        <v>61.825927003406186</v>
      </c>
      <c r="E149" s="20">
        <v>20401814</v>
      </c>
      <c r="F149" s="40">
        <f>(E149/B149)</f>
        <v>8.3654387272647596E-2</v>
      </c>
      <c r="G149" s="19">
        <v>14022429</v>
      </c>
      <c r="H149" s="14">
        <f>(G149/E149)</f>
        <v>0.6873128536511508</v>
      </c>
      <c r="I149" s="20">
        <v>2527951</v>
      </c>
      <c r="J149" s="14">
        <f>(I149/E149)</f>
        <v>0.12390814855973101</v>
      </c>
      <c r="K149" s="20">
        <v>3851434</v>
      </c>
      <c r="L149" s="15">
        <f>(K149/E149)</f>
        <v>0.18877899778911816</v>
      </c>
      <c r="M149" s="19">
        <f>G149+I149+K149</f>
        <v>20401814</v>
      </c>
      <c r="N149" s="38">
        <v>9300000</v>
      </c>
      <c r="O149" s="54"/>
      <c r="P149" s="59">
        <f t="shared" si="30"/>
        <v>9300000</v>
      </c>
      <c r="Q149" s="100">
        <v>249120297</v>
      </c>
      <c r="R149" s="23">
        <f>(P149/Q149)</f>
        <v>3.7331362044739372E-2</v>
      </c>
      <c r="S149" s="105">
        <f>(P149/C149)</f>
        <v>28.182843012473182</v>
      </c>
      <c r="T149" s="105">
        <f>(N149/C149)</f>
        <v>28.182843012473182</v>
      </c>
      <c r="V149">
        <v>3</v>
      </c>
    </row>
    <row r="150" spans="1:22" x14ac:dyDescent="0.25">
      <c r="A150" s="55" t="s">
        <v>31</v>
      </c>
      <c r="B150" s="143">
        <v>171119576</v>
      </c>
      <c r="C150" s="50">
        <v>228675</v>
      </c>
      <c r="D150" s="53">
        <f>(E150/C150)</f>
        <v>41.478080244889036</v>
      </c>
      <c r="E150" s="51">
        <v>9485000</v>
      </c>
      <c r="F150" s="58">
        <f>(E150/B150)</f>
        <v>5.5429076098225019E-2</v>
      </c>
      <c r="G150" s="19">
        <v>6735000</v>
      </c>
      <c r="H150" s="14">
        <f>(G150/E150)</f>
        <v>0.71006852925672115</v>
      </c>
      <c r="J150" s="14">
        <f>(I150/E150)</f>
        <v>0</v>
      </c>
      <c r="K150" s="20">
        <v>2750000</v>
      </c>
      <c r="L150" s="15">
        <f>(K150/E150)</f>
        <v>0.28993147074327885</v>
      </c>
      <c r="M150" s="19">
        <f>G150+I150+K150</f>
        <v>9485000</v>
      </c>
      <c r="N150" s="38">
        <v>8692000</v>
      </c>
      <c r="O150" s="54"/>
      <c r="P150" s="59">
        <f t="shared" si="30"/>
        <v>8692000</v>
      </c>
      <c r="Q150" s="100">
        <v>171603568</v>
      </c>
      <c r="R150" s="23">
        <f>(P150/Q150)</f>
        <v>5.0651627476650134E-2</v>
      </c>
      <c r="S150" s="105">
        <f>(P150/C150)</f>
        <v>38.01027659341861</v>
      </c>
      <c r="T150" s="105">
        <f>(N150/C150)</f>
        <v>38.01027659341861</v>
      </c>
    </row>
    <row r="151" spans="1:22" ht="15.75" thickBot="1" x14ac:dyDescent="0.3">
      <c r="A151" s="55" t="s">
        <v>30</v>
      </c>
      <c r="B151" s="143">
        <v>170849236</v>
      </c>
      <c r="C151" s="50">
        <v>169498</v>
      </c>
      <c r="D151" s="53">
        <f>(E151/C151)</f>
        <v>82.135081239896635</v>
      </c>
      <c r="E151" s="20">
        <v>13921732</v>
      </c>
      <c r="F151" s="40">
        <f>(E151/B151)</f>
        <v>8.1485479981894676E-2</v>
      </c>
      <c r="G151" s="19">
        <v>7863339</v>
      </c>
      <c r="H151" s="14">
        <f>(G151/E151)</f>
        <v>0.56482476461980446</v>
      </c>
      <c r="I151" s="54">
        <v>41867</v>
      </c>
      <c r="J151" s="14">
        <f>(I151/E151)</f>
        <v>3.0073125958752834E-3</v>
      </c>
      <c r="K151" s="32">
        <v>6016526</v>
      </c>
      <c r="L151" s="15">
        <f>(K151/E151)</f>
        <v>0.4321679227843202</v>
      </c>
      <c r="M151" s="19">
        <f>G151+I151+K151</f>
        <v>13921732</v>
      </c>
      <c r="N151" s="54">
        <v>11500000</v>
      </c>
      <c r="O151" s="54"/>
      <c r="P151" s="59">
        <f t="shared" si="30"/>
        <v>11500000</v>
      </c>
      <c r="Q151" s="100">
        <v>172510792</v>
      </c>
      <c r="R151" s="23">
        <f>(P151/Q151)</f>
        <v>6.6662496106330557E-2</v>
      </c>
      <c r="S151" s="105">
        <f>(P151/C151)</f>
        <v>67.847408229005651</v>
      </c>
      <c r="T151" s="105">
        <f>(N151/C151)</f>
        <v>67.847408229005651</v>
      </c>
    </row>
    <row r="152" spans="1:22" ht="15.75" thickBot="1" x14ac:dyDescent="0.3">
      <c r="A152" s="24"/>
      <c r="B152" s="33"/>
      <c r="C152" s="28"/>
      <c r="D152" s="188">
        <f>SUM(D148:D151)</f>
        <v>221.69998581342847</v>
      </c>
      <c r="F152" s="13">
        <f>SUM(F148:F151)</f>
        <v>0.25687762177757645</v>
      </c>
      <c r="K152" s="6"/>
      <c r="L152" s="7"/>
      <c r="M152" s="8"/>
      <c r="R152" s="110">
        <f>SUM(R149:R151)</f>
        <v>0.15464548562772007</v>
      </c>
      <c r="S152" s="105"/>
      <c r="T152" s="105"/>
    </row>
    <row r="153" spans="1:22" x14ac:dyDescent="0.25">
      <c r="C153" s="119" t="s">
        <v>98</v>
      </c>
      <c r="D153" s="121">
        <f>(D148+D149+D150+D151)/4</f>
        <v>55.424996453357117</v>
      </c>
      <c r="E153" s="165" t="s">
        <v>97</v>
      </c>
      <c r="F153" s="166">
        <f>(F148+F149+F150+F151)/4</f>
        <v>6.4219405444394112E-2</v>
      </c>
      <c r="S153" s="105"/>
      <c r="T153" s="105"/>
    </row>
    <row r="154" spans="1:22" ht="15.75" x14ac:dyDescent="0.25">
      <c r="A154" s="35" t="s">
        <v>84</v>
      </c>
      <c r="B154" s="4" t="s">
        <v>72</v>
      </c>
      <c r="C154" s="131" t="s">
        <v>0</v>
      </c>
      <c r="D154" s="130" t="s">
        <v>63</v>
      </c>
      <c r="E154" s="130" t="s">
        <v>69</v>
      </c>
      <c r="F154" s="130" t="s">
        <v>61</v>
      </c>
      <c r="G154" s="130" t="s">
        <v>74</v>
      </c>
      <c r="H154" s="131" t="s">
        <v>67</v>
      </c>
      <c r="I154" s="130" t="s">
        <v>75</v>
      </c>
      <c r="J154" s="131" t="s">
        <v>67</v>
      </c>
      <c r="K154" s="130" t="s">
        <v>65</v>
      </c>
      <c r="L154" s="131" t="s">
        <v>67</v>
      </c>
      <c r="M154" s="132"/>
      <c r="N154" s="63" t="s">
        <v>99</v>
      </c>
      <c r="O154" s="63" t="s">
        <v>102</v>
      </c>
      <c r="P154" s="64" t="s">
        <v>104</v>
      </c>
      <c r="Q154" s="65" t="s">
        <v>105</v>
      </c>
      <c r="R154" s="66" t="s">
        <v>61</v>
      </c>
      <c r="S154" s="137" t="s">
        <v>111</v>
      </c>
      <c r="T154" s="138" t="s">
        <v>112</v>
      </c>
      <c r="U154" s="108" t="s">
        <v>113</v>
      </c>
      <c r="V154" s="108">
        <v>1</v>
      </c>
    </row>
    <row r="155" spans="1:22" x14ac:dyDescent="0.25">
      <c r="A155" s="44" t="s">
        <v>84</v>
      </c>
      <c r="B155" s="151">
        <v>266616013</v>
      </c>
      <c r="C155" s="127">
        <v>84959</v>
      </c>
      <c r="D155" s="204">
        <f>(E155/C155)</f>
        <v>392.1958709495168</v>
      </c>
      <c r="E155" s="129">
        <f>(G155+K155)</f>
        <v>33320569</v>
      </c>
      <c r="F155" s="194">
        <f>(E155/B155)</f>
        <v>0.12497587307331012</v>
      </c>
      <c r="G155" s="128">
        <v>26832658</v>
      </c>
      <c r="H155" s="14">
        <f>(G155/E155)</f>
        <v>0.80528810897557002</v>
      </c>
      <c r="I155" s="1"/>
      <c r="J155" s="14">
        <f>(I155/E155)</f>
        <v>0</v>
      </c>
      <c r="K155" s="128">
        <v>6487911</v>
      </c>
      <c r="L155" s="15">
        <f>(K155/E155)</f>
        <v>0.19471189102442998</v>
      </c>
      <c r="M155" s="133">
        <v>33320569</v>
      </c>
      <c r="N155" s="134">
        <v>2294800</v>
      </c>
      <c r="O155" s="134">
        <v>127200</v>
      </c>
      <c r="P155" s="136">
        <f>(N155+O155)</f>
        <v>2422000</v>
      </c>
      <c r="Q155" s="135">
        <v>233306543</v>
      </c>
      <c r="R155" s="23">
        <f>(P155/Q155)</f>
        <v>1.0381191923965888E-2</v>
      </c>
      <c r="S155" s="105">
        <f>(P155/C155)</f>
        <v>28.507868501277088</v>
      </c>
      <c r="T155" s="105">
        <f>(N155/C155)</f>
        <v>27.010675737708777</v>
      </c>
    </row>
    <row r="156" spans="1:22" x14ac:dyDescent="0.25">
      <c r="C156" s="2"/>
    </row>
    <row r="157" spans="1:22" ht="15.75" x14ac:dyDescent="0.25">
      <c r="A157" s="35" t="s">
        <v>85</v>
      </c>
      <c r="B157" s="4" t="s">
        <v>72</v>
      </c>
      <c r="C157" s="131" t="s">
        <v>0</v>
      </c>
      <c r="D157" s="130" t="s">
        <v>63</v>
      </c>
      <c r="E157" s="130" t="s">
        <v>69</v>
      </c>
      <c r="F157" s="130" t="s">
        <v>61</v>
      </c>
      <c r="G157" s="130" t="s">
        <v>74</v>
      </c>
      <c r="H157" s="131" t="s">
        <v>67</v>
      </c>
      <c r="I157" s="130" t="s">
        <v>75</v>
      </c>
      <c r="J157" s="131" t="s">
        <v>67</v>
      </c>
      <c r="K157" s="130" t="s">
        <v>65</v>
      </c>
      <c r="L157" s="131" t="s">
        <v>67</v>
      </c>
      <c r="M157" s="139"/>
      <c r="N157" s="63" t="s">
        <v>99</v>
      </c>
      <c r="O157" s="63" t="s">
        <v>102</v>
      </c>
      <c r="P157" s="64" t="s">
        <v>104</v>
      </c>
      <c r="Q157" s="65" t="s">
        <v>105</v>
      </c>
      <c r="R157" s="66" t="s">
        <v>61</v>
      </c>
      <c r="S157" s="137" t="s">
        <v>111</v>
      </c>
      <c r="T157" s="138" t="s">
        <v>112</v>
      </c>
      <c r="V157">
        <v>1</v>
      </c>
    </row>
    <row r="158" spans="1:22" ht="15.75" thickBot="1" x14ac:dyDescent="0.3">
      <c r="A158" s="1" t="s">
        <v>85</v>
      </c>
      <c r="B158" s="152">
        <v>259582515</v>
      </c>
      <c r="C158" s="2">
        <v>86120</v>
      </c>
      <c r="D158" s="53">
        <f>(E158/C158)</f>
        <v>49.830469112865771</v>
      </c>
      <c r="E158" s="3">
        <v>4291400</v>
      </c>
      <c r="F158" s="194">
        <f>(E158/B158)</f>
        <v>1.6531930126341521E-2</v>
      </c>
      <c r="K158">
        <v>4291400</v>
      </c>
      <c r="L158" s="140">
        <v>1</v>
      </c>
      <c r="N158" s="141">
        <v>1463083</v>
      </c>
      <c r="P158" s="59">
        <f>(N158+O158)</f>
        <v>1463083</v>
      </c>
      <c r="Q158" s="3">
        <v>235081115</v>
      </c>
      <c r="R158" s="23">
        <f>(P158/Q158)</f>
        <v>6.2237368578075703E-3</v>
      </c>
      <c r="S158" s="105">
        <f>(P158/C158)</f>
        <v>16.988887598699488</v>
      </c>
    </row>
    <row r="159" spans="1:22" ht="15.75" thickBot="1" x14ac:dyDescent="0.3">
      <c r="A159" s="1"/>
      <c r="C159" s="199" t="s">
        <v>148</v>
      </c>
      <c r="D159" s="200">
        <v>66.7</v>
      </c>
      <c r="E159" s="201"/>
      <c r="F159" s="202">
        <v>6.4560000000000006E-2</v>
      </c>
      <c r="S159" s="190" t="s">
        <v>148</v>
      </c>
    </row>
    <row r="160" spans="1:22" x14ac:dyDescent="0.25">
      <c r="C160" s="2"/>
      <c r="S160" s="190">
        <v>56.5</v>
      </c>
      <c r="V160">
        <f>SUM(V5:V157)</f>
        <v>3955.8188152757339</v>
      </c>
    </row>
    <row r="161" spans="1:19" ht="15.75" thickBot="1" x14ac:dyDescent="0.3">
      <c r="A161" s="1" t="s">
        <v>120</v>
      </c>
      <c r="C161" s="2"/>
    </row>
    <row r="162" spans="1:19" ht="15.75" thickBot="1" x14ac:dyDescent="0.3">
      <c r="A162" s="24" t="s">
        <v>122</v>
      </c>
      <c r="B162" s="52" t="s">
        <v>91</v>
      </c>
      <c r="C162" s="28"/>
      <c r="D162" s="29"/>
      <c r="H162" t="s">
        <v>121</v>
      </c>
    </row>
    <row r="163" spans="1:19" x14ac:dyDescent="0.25">
      <c r="B163" s="52" t="s">
        <v>62</v>
      </c>
      <c r="C163" s="2"/>
    </row>
    <row r="164" spans="1:19" x14ac:dyDescent="0.25">
      <c r="C164" s="142"/>
    </row>
    <row r="165" spans="1:19" ht="18.75" x14ac:dyDescent="0.3">
      <c r="A165" s="167"/>
      <c r="B165" s="167"/>
      <c r="C165" s="168"/>
      <c r="D165" s="167"/>
      <c r="E165" s="169"/>
      <c r="F165" s="169"/>
      <c r="R165" s="171"/>
      <c r="S165" s="171"/>
    </row>
    <row r="166" spans="1:19" ht="18.75" x14ac:dyDescent="0.3">
      <c r="A166" s="167"/>
      <c r="B166" s="169"/>
      <c r="C166" s="169"/>
      <c r="D166" s="169"/>
      <c r="E166" s="169"/>
      <c r="F166" s="170"/>
      <c r="R166" s="171"/>
      <c r="S166" s="172"/>
    </row>
    <row r="167" spans="1:19" x14ac:dyDescent="0.25">
      <c r="D167" s="192">
        <f>(D158+D155+D152+D145+D138+D124+D116+D103+D94+D87+D73+D65+D53+D46+D39+D32+D25+D18)</f>
        <v>6209.0792013203763</v>
      </c>
      <c r="F167" s="198">
        <f>(F158+F155+F152+F145+F138+F124+F116+F103+F94+F87+F73+F65+F53+F46+F39+F32+F25+F18)</f>
        <v>6.0038897875022315</v>
      </c>
    </row>
    <row r="168" spans="1:19" x14ac:dyDescent="0.25">
      <c r="D168" s="193">
        <f>(D167/93)</f>
        <v>66.764292487315871</v>
      </c>
      <c r="F168" s="14">
        <f>(F167/93)</f>
        <v>6.4557954704325071E-2</v>
      </c>
    </row>
  </sheetData>
  <hyperlinks>
    <hyperlink ref="B162" r:id="rId1" xr:uid="{00000000-0004-0000-0000-000000000000}"/>
    <hyperlink ref="B163" r:id="rId2" xr:uid="{00000000-0004-0000-0000-000001000000}"/>
  </hyperlinks>
  <pageMargins left="0.7" right="0.7" top="0.75" bottom="0.75" header="0.3" footer="0.3"/>
  <pageSetup paperSize="9" scale="21" fitToWidth="0" orientation="landscape" r:id="rId3"/>
  <drawing r:id="rId4"/>
  <legacyDrawing r:id="rId5"/>
  <controls>
    <mc:AlternateContent xmlns:mc="http://schemas.openxmlformats.org/markup-compatibility/2006">
      <mc:Choice Requires="x14">
        <control shapeId="1027" r:id="rId6" name="Control 3">
          <controlPr defaultSize="0" r:id="rId7">
            <anchor moveWithCells="1">
              <from>
                <xdr:col>14</xdr:col>
                <xdr:colOff>1266825</xdr:colOff>
                <xdr:row>12</xdr:row>
                <xdr:rowOff>180975</xdr:rowOff>
              </from>
              <to>
                <xdr:col>14</xdr:col>
                <xdr:colOff>1466850</xdr:colOff>
                <xdr:row>14</xdr:row>
                <xdr:rowOff>9525</xdr:rowOff>
              </to>
            </anchor>
          </controlPr>
        </control>
      </mc:Choice>
      <mc:Fallback>
        <control shapeId="1027" r:id="rId6" name="Control 3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C75E247D734042AAFB02E81AC6185C" ma:contentTypeVersion="13" ma:contentTypeDescription="Crear nuevo documento." ma:contentTypeScope="" ma:versionID="ff0cd261a83a592fef80ebcfcb4f28c0">
  <xsd:schema xmlns:xsd="http://www.w3.org/2001/XMLSchema" xmlns:xs="http://www.w3.org/2001/XMLSchema" xmlns:p="http://schemas.microsoft.com/office/2006/metadata/properties" xmlns:ns2="388868a8-bc35-43a1-be1f-aafcd1c5be2f" xmlns:ns3="35ea7e7c-f645-46e7-91d3-470368940739" targetNamespace="http://schemas.microsoft.com/office/2006/metadata/properties" ma:root="true" ma:fieldsID="bf3c3da6b390690e079e8c29173210b8" ns2:_="" ns3:_="">
    <xsd:import namespace="388868a8-bc35-43a1-be1f-aafcd1c5be2f"/>
    <xsd:import namespace="35ea7e7c-f645-46e7-91d3-470368940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868a8-bc35-43a1-be1f-aafcd1c5b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a7e7c-f645-46e7-91d3-470368940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E01B4C-C149-4AA9-BE1B-D6F552142ACF}"/>
</file>

<file path=customXml/itemProps2.xml><?xml version="1.0" encoding="utf-8"?>
<ds:datastoreItem xmlns:ds="http://schemas.openxmlformats.org/officeDocument/2006/customXml" ds:itemID="{88BF9C54-D3A5-4627-83CF-4B460D6A0948}"/>
</file>

<file path=customXml/itemProps3.xml><?xml version="1.0" encoding="utf-8"?>
<ds:datastoreItem xmlns:ds="http://schemas.openxmlformats.org/officeDocument/2006/customXml" ds:itemID="{256EEE8E-F1ED-4F82-A315-855F876C1F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E INGRESOS PRESUPUESTARIOS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rodriguez</dc:creator>
  <cp:lastModifiedBy>alejandro rodriguez</cp:lastModifiedBy>
  <cp:lastPrinted>2019-07-15T10:04:44Z</cp:lastPrinted>
  <dcterms:created xsi:type="dcterms:W3CDTF">2017-06-10T17:40:56Z</dcterms:created>
  <dcterms:modified xsi:type="dcterms:W3CDTF">2019-11-11T20:08:34Z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0x01010056C75E247D734042AAFB02E81AC6185C</vt:lpwstr>
  </property>
</Properties>
</file>